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dice" sheetId="1" state="visible" r:id="rId3"/>
    <sheet name="1 Tensioni" sheetId="2" state="visible" r:id="rId4"/>
    <sheet name="2 Forze in campata" sheetId="3" state="visible" r:id="rId5"/>
    <sheet name="3 Instabilità" sheetId="4" state="visible" r:id="rId6"/>
    <sheet name="4 Resistenze NTC" sheetId="5" state="visible" r:id="rId7"/>
    <sheet name="5 Fonti" sheetId="6" state="visible" r:id="rId8"/>
  </sheets>
  <definedNames>
    <definedName function="false" hidden="false" name="Materiali" vbProcedure="false">'4 Resistenze NTC'!$A$22:$A$50</definedName>
    <definedName function="false" hidden="false" name="TabMateriali" vbProcedure="false">'4 Resistenze NTC'!$A$22:$G$50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H30" authorId="0">
      <text>
        <r>
          <rPr>
            <sz val="10"/>
            <rFont val="Arial"/>
            <family val="2"/>
          </rPr>
          <t xml:space="preserve">ΔL dell’app per l’asta 1: -0.149746 mm (ricavato dagli spostamenti dei nodi).</t>
        </r>
      </text>
    </comment>
    <comment ref="H31" authorId="0">
      <text>
        <r>
          <rPr>
            <sz val="10"/>
            <rFont val="Arial"/>
            <family val="2"/>
          </rPr>
          <t xml:space="preserve">ΔL dell’app per l’asta 2: -0.093522 mm (ricavato dagli spostamenti dei nodi).</t>
        </r>
      </text>
    </comment>
    <comment ref="H32" authorId="0">
      <text>
        <r>
          <rPr>
            <sz val="10"/>
            <rFont val="Arial"/>
            <family val="2"/>
          </rPr>
          <t xml:space="preserve">ΔL dell’app per l’asta 3: -0.168599 mm (ricavato dagli spostamenti dei nodi).</t>
        </r>
      </text>
    </comment>
  </commentList>
</comments>
</file>

<file path=xl/sharedStrings.xml><?xml version="1.0" encoding="utf-8"?>
<sst xmlns="http://schemas.openxmlformats.org/spreadsheetml/2006/main" count="782" uniqueCount="404">
  <si>
    <t xml:space="preserve">Telaio 2D — Quaderno di esercizi</t>
  </si>
  <si>
    <t xml:space="preserve">Calcoli guidati ed esercizi corretti automaticamente · vivi.green · app versione 1.12.0 · ottobre 2026</t>
  </si>
  <si>
    <t xml:space="preserve">Come usare questo file</t>
  </si>
  <si>
    <t xml:space="preserve">Questo quaderno accompagna l’app Telaio 2D. Come si usa l’app, con schermate e passaggi, è spiegato nella guida online «Come si usa Telaio2D»; qui trovi i calcoli guidati con formule modificabili, il confronto con i valori dell’app e gli esercizi con correzione automatica. Si apre con Excel, LibreOffice Calc o Fogli Google, anche senza connessione.</t>
  </si>
  <si>
    <t xml:space="preserve">Cella gialla</t>
  </si>
  <si>
    <t xml:space="preserve">Dato da inserire o modificare: prova a cambiarlo, i risultati si aggiornano.</t>
  </si>
  <si>
    <t xml:space="preserve">Cella grigia</t>
  </si>
  <si>
    <t xml:space="preserve">Valore calcolato con una formula: non modificarlo.</t>
  </si>
  <si>
    <t xml:space="preserve">Testo blu</t>
  </si>
  <si>
    <t xml:space="preserve">Valore riportato dall’app o dalla norma (scritto a mano, con la fonte).</t>
  </si>
  <si>
    <t xml:space="preserve">Collegamenti</t>
  </si>
  <si>
    <t xml:space="preserve">Guida online «Come si usa Telaio2D»</t>
  </si>
  <si>
    <t xml:space="preserve">La guida illustrata sul sito: interfaccia, strumenti, risultati e verifiche nell’app.</t>
  </si>
  <si>
    <t xml:space="preserve">App Telaio 2D</t>
  </si>
  <si>
    <t xml:space="preserve">Il programma da usare online, installare come app o scaricare.</t>
  </si>
  <si>
    <t xml:space="preserve">Capitoli</t>
  </si>
  <si>
    <t xml:space="preserve">N.</t>
  </si>
  <si>
    <t xml:space="preserve">Capitolo</t>
  </si>
  <si>
    <t xml:space="preserve">Cosa trovi</t>
  </si>
  <si>
    <t xml:space="preserve">Vai al foglio</t>
  </si>
  <si>
    <t xml:space="preserve">1</t>
  </si>
  <si>
    <t xml:space="preserve">Tensioni e deformazioni</t>
  </si>
  <si>
    <t xml:space="preserve">σ = N/A, ε = σ/E, ΔL e verifica di resistenza: calcolo guidato, confronto con l’app e quattro esercizi.</t>
  </si>
  <si>
    <t xml:space="preserve">2</t>
  </si>
  <si>
    <t xml:space="preserve">Forze in campata</t>
  </si>
  <si>
    <t xml:space="preserve">Trave appoggiata e incastrata con una forza concentrata: reazioni, momenti, freccia, confronto con l’app ed esercizio.</t>
  </si>
  <si>
    <t xml:space="preserve">3</t>
  </si>
  <si>
    <t xml:space="preserve">Instabilità</t>
  </si>
  <si>
    <t xml:space="preserve">Carico di punta delle aste compresse: calcoli guidati per acciaio, legno e calcestruzzo secondo le NTC, confronto con l’app ed esercizi.</t>
  </si>
  <si>
    <t xml:space="preserve">4</t>
  </si>
  <si>
    <t xml:space="preserve">Resistenze NTC</t>
  </si>
  <si>
    <t xml:space="preserve">Resistenze di calcolo di acciaio, calcestruzzo e legno secondo le NTC 2018, con coefficienti modificabili. Usata dagli altri fogli.</t>
  </si>
  <si>
    <t xml:space="preserve">5</t>
  </si>
  <si>
    <t xml:space="preserve">Fonti</t>
  </si>
  <si>
    <t xml:space="preserve">Norme in vigore, riferimenti e note.</t>
  </si>
  <si>
    <t xml:space="preserve">Avvertenza</t>
  </si>
  <si>
    <t xml:space="preserve">Telaio 2D e questo quaderno di esercizi sono strumenti a esclusivo scopo didattico. L’autore non è in alcun modo responsabile di usi diversi da quello didattico. Qualsiasi risultato deve essere vagliato e approvato da un professionista abilitato al calcolo strutturale degli edifici. Uso regolato dalla licenza d’uso didattico dell’app (© 2026 Adonai — vivi.green).</t>
  </si>
  <si>
    <t xml:space="preserve">1 · Tensioni e deformazioni da sforzo normale</t>
  </si>
  <si>
    <t xml:space="preserve">σ = N/A · ε = σ/E · ΔL = N·L/(E·A) · verifica |σ| ≤ f_d. Valori iniziali: asta 3 del portale con HEA 200 in acciaio S275 della guida</t>
  </si>
  <si>
    <t xml:space="preserve">Dati</t>
  </si>
  <si>
    <t xml:space="preserve">Grandezza</t>
  </si>
  <si>
    <t xml:space="preserve">Valore</t>
  </si>
  <si>
    <t xml:space="preserve">Unità</t>
  </si>
  <si>
    <t xml:space="preserve">Spiegazione</t>
  </si>
  <si>
    <t xml:space="preserve">Materiale</t>
  </si>
  <si>
    <t xml:space="preserve">Acciaio S275</t>
  </si>
  <si>
    <t xml:space="preserve">Scegli dall’elenco (foglio «4 Resistenze NTC»). Da E e f_d dipendono ε e la verifica.</t>
  </si>
  <si>
    <t xml:space="preserve">Sforzo normale N</t>
  </si>
  <si>
    <t xml:space="preserve">kN</t>
  </si>
  <si>
    <t xml:space="preserve">Trazione positiva, compressione negativa. Valore dell’app: asta 3 del portale (−47,67 kN).</t>
  </si>
  <si>
    <t xml:space="preserve">Area A</t>
  </si>
  <si>
    <t xml:space="preserve">cm²</t>
  </si>
  <si>
    <t xml:space="preserve">HEA 200: A = 53,85 cm² (calcolata dalla geometria EN 10365).</t>
  </si>
  <si>
    <t xml:space="preserve">Lunghezza L</t>
  </si>
  <si>
    <t xml:space="preserve">m</t>
  </si>
  <si>
    <t xml:space="preserve">Lunghezza dell’asta.</t>
  </si>
  <si>
    <t xml:space="preserve">E personalizzato (facoltativo)</t>
  </si>
  <si>
    <t xml:space="preserve">MPa</t>
  </si>
  <si>
    <t xml:space="preserve">Lascia vuoto per usare E del materiale; scrivi un valore per sostituirlo.</t>
  </si>
  <si>
    <t xml:space="preserve">Calcoli</t>
  </si>
  <si>
    <t xml:space="preserve">Risultato</t>
  </si>
  <si>
    <t xml:space="preserve">Formula</t>
  </si>
  <si>
    <t xml:space="preserve">Modulo elastico E</t>
  </si>
  <si>
    <t xml:space="preserve">dal materiale (colonna E del foglio 4) o dal valore personalizzato</t>
  </si>
  <si>
    <t xml:space="preserve">Tensione σ</t>
  </si>
  <si>
    <t xml:space="preserve">σ = N·10 / A   (N in kN, A in cm²)</t>
  </si>
  <si>
    <t xml:space="preserve">Deformazione ε</t>
  </si>
  <si>
    <t xml:space="preserve">—</t>
  </si>
  <si>
    <t xml:space="preserve">ε = σ / E   (formato scientifico: E−05 significa ×10⁻⁵)</t>
  </si>
  <si>
    <t xml:space="preserve">ε: esponente n</t>
  </si>
  <si>
    <t xml:space="preserve">ε scritto come m ×10ⁿ: esponente n = parte intera di log₁₀|ε|</t>
  </si>
  <si>
    <t xml:space="preserve">ε: mantissa m</t>
  </si>
  <si>
    <t xml:space="preserve">mantissa m = ε / 10ⁿ  → si legge «m ×10ⁿ», come nell’app</t>
  </si>
  <si>
    <t xml:space="preserve">Variazione di lunghezza ΔL</t>
  </si>
  <si>
    <t xml:space="preserve">mm</t>
  </si>
  <si>
    <t xml:space="preserve">ΔL = ε·L   (L in m, risultato in mm); equivale a N·L/(E·A)</t>
  </si>
  <si>
    <t xml:space="preserve">Lunghezza finale L′</t>
  </si>
  <si>
    <t xml:space="preserve">L′ = L + ΔL</t>
  </si>
  <si>
    <t xml:space="preserve">Resistenza di calcolo f_d</t>
  </si>
  <si>
    <t xml:space="preserve">f_d a compressione se σ &lt; 0, a trazione se σ &gt; 0 (foglio 4)</t>
  </si>
  <si>
    <t xml:space="preserve">Rapporto |σ| / f_d</t>
  </si>
  <si>
    <t xml:space="preserve">deve essere ≤ 1</t>
  </si>
  <si>
    <t xml:space="preserve">Esito della verifica di resistenza</t>
  </si>
  <si>
    <t xml:space="preserve">Confronto con l’app: le tre aste del portale con HEA 200 in acciaio S275</t>
  </si>
  <si>
    <t xml:space="preserve">In blu i valori letti nell’app (versione 1.12.0, scheda Risultati); in grigio quelli ricalcolati qui con le formule. La colonna «Scarto ΔL» deve essere zero.</t>
  </si>
  <si>
    <t xml:space="preserve">Asta</t>
  </si>
  <si>
    <t xml:space="preserve">N app [kN]</t>
  </si>
  <si>
    <t xml:space="preserve">A [cm²]</t>
  </si>
  <si>
    <t xml:space="preserve">L [m]</t>
  </si>
  <si>
    <t xml:space="preserve">σ = N·10/A [MPa]</t>
  </si>
  <si>
    <t xml:space="preserve">ε</t>
  </si>
  <si>
    <t xml:space="preserve">ΔL [mm]</t>
  </si>
  <si>
    <t xml:space="preserve">Scarto ΔL [mm]</t>
  </si>
  <si>
    <t xml:space="preserve">Asta 1</t>
  </si>
  <si>
    <t xml:space="preserve">Asta 2</t>
  </si>
  <si>
    <t xml:space="preserve">Asta 3</t>
  </si>
  <si>
    <t xml:space="preserve">E = 210 000 MPa per l’acciaio. Lo scarto è nullo a meno degli arrotondamenti perché in queste aste N è costante: l’app ricava ΔL dagli spostamenti dei nodi, il foglio da N·L/(E·A).</t>
  </si>
  <si>
    <t xml:space="preserve">Esercizi</t>
  </si>
  <si>
    <t xml:space="preserve">Scrivi le risposte nelle celle gialle della colonna B: la colonna «Controllo» dice se sono corrette (tolleranza 1%). Per gli insegnanti: la colonna E «Soluzione» si può nascondere prima di distribuire il file.</t>
  </si>
  <si>
    <t xml:space="preserve">Esercizio 1 · Colonna in acciaio</t>
  </si>
  <si>
    <t xml:space="preserve">Una colonna IPE 200 in acciaio S275 (A = 28,48 cm²), lunga 3,00 m, porta un carico di compressione di 500 kN. Calcola σ, ε, ΔL e verifica la resistenza. Prova nell’app: crea un’asta verticale incastrata alla base con Fy = −500 kN in sommità e assegna la sezione IPE 200 dalla scheda Sezione.</t>
  </si>
  <si>
    <t xml:space="preserve">N</t>
  </si>
  <si>
    <t xml:space="preserve">A</t>
  </si>
  <si>
    <t xml:space="preserve">L</t>
  </si>
  <si>
    <t xml:space="preserve">La tua risposta</t>
  </si>
  <si>
    <t xml:space="preserve">Soluzione</t>
  </si>
  <si>
    <t xml:space="preserve">Controllo</t>
  </si>
  <si>
    <t xml:space="preserve">σ</t>
  </si>
  <si>
    <t xml:space="preserve">ε (in Excel: 1,2345E-05)</t>
  </si>
  <si>
    <t xml:space="preserve">ΔL</t>
  </si>
  <si>
    <t xml:space="preserve">|σ| / f_d</t>
  </si>
  <si>
    <t xml:space="preserve">Esercizio 2 · Tirante in acciaio</t>
  </si>
  <si>
    <t xml:space="preserve">Un tirante tondo Ø20 mm in acciaio S235 (A = π·1,0² = 3,1416 cm²), lungo 2,50 m, è teso da una forza di 60 kN. Calcola σ, ε, ΔL e verifica.</t>
  </si>
  <si>
    <t xml:space="preserve">Acciaio S235</t>
  </si>
  <si>
    <t xml:space="preserve">Esercizio 3 · Pilastro in calcestruzzo</t>
  </si>
  <si>
    <t xml:space="preserve">Un pilastro in calcestruzzo C25/30, sezione 30×30 cm (A = 900 cm²), alto 3,20 m, porta 900 kN di compressione. Calcola σ, ε, ΔL e verifica. Nota: qui E = E_cm della tabella NTC (31 476 MPa).</t>
  </si>
  <si>
    <t xml:space="preserve">Calcestruzzo C25/30</t>
  </si>
  <si>
    <t xml:space="preserve">Esercizio 4 · Puntone in legno</t>
  </si>
  <si>
    <t xml:space="preserve">Un puntone in legno C24, sezione 12×12 cm (A = 144 cm²), lungo 2,00 m, è compresso da 40 kN. Calcola σ, ε, ΔL e verifica la resistenza; la verifica di stabilità è nel foglio «3 Instabilità».</t>
  </si>
  <si>
    <t xml:space="preserve">Legno C24</t>
  </si>
  <si>
    <t xml:space="preserve">2 · Forze concentrate in campata</t>
  </si>
  <si>
    <t xml:space="preserve">Formule della trave appoggiata e incastrata, confronto con l’app ed esercizio</t>
  </si>
  <si>
    <t xml:space="preserve">Calcolo guidato: trave appoggiata e trave incastrata con una forza P</t>
  </si>
  <si>
    <t xml:space="preserve">Cambia le celle gialle. Valori iniziali: l’esempio «Trave con forza in campata» (sezione 30×30 in calcestruzzo, E = 31 000 MPa).</t>
  </si>
  <si>
    <t xml:space="preserve">Luce L</t>
  </si>
  <si>
    <t xml:space="preserve">Distanza fra gli appoggi.</t>
  </si>
  <si>
    <t xml:space="preserve">Distanza a dal nodo iniziale</t>
  </si>
  <si>
    <t xml:space="preserve">Posizione della forza: 0 &lt; a &lt; L.</t>
  </si>
  <si>
    <t xml:space="preserve">Forza P (modulo)</t>
  </si>
  <si>
    <t xml:space="preserve">Forza perpendicolare all’asta.</t>
  </si>
  <si>
    <t xml:space="preserve">Calcestruzzo C25/30 nell’app.</t>
  </si>
  <si>
    <t xml:space="preserve">Momento d’inerzia I</t>
  </si>
  <si>
    <t xml:space="preserve">cm⁴</t>
  </si>
  <si>
    <t xml:space="preserve">Sezione 30×30: I = 30·30³/12 = 67 500 cm⁴.</t>
  </si>
  <si>
    <t xml:space="preserve">Trave appoggiata</t>
  </si>
  <si>
    <t xml:space="preserve">b = L − a</t>
  </si>
  <si>
    <t xml:space="preserve">distanza della forza dal nodo finale</t>
  </si>
  <si>
    <t xml:space="preserve">Reazione R_A (nodo iniziale)</t>
  </si>
  <si>
    <t xml:space="preserve">R_A = P·b/L</t>
  </si>
  <si>
    <t xml:space="preserve">Reazione R_B (nodo finale)</t>
  </si>
  <si>
    <t xml:space="preserve">R_B = P·a/L</t>
  </si>
  <si>
    <t xml:space="preserve">Momento massimo (sotto la forza)</t>
  </si>
  <si>
    <t xml:space="preserve">kNm</t>
  </si>
  <si>
    <t xml:space="preserve">M_max = P·a·b/L</t>
  </si>
  <si>
    <t xml:space="preserve">Taglio a sinistra / a destra</t>
  </si>
  <si>
    <t xml:space="preserve">il salto è uguale a P</t>
  </si>
  <si>
    <t xml:space="preserve">Freccia sotto la forza</t>
  </si>
  <si>
    <t xml:space="preserve">f = P·a²·b²/(3·E·I·L)   (kN, m, MPa, cm⁴ → mm: fattore 10⁸)</t>
  </si>
  <si>
    <t xml:space="preserve">Trave incastrata ai due estremi</t>
  </si>
  <si>
    <t xml:space="preserve">Momento all’incastro iniziale</t>
  </si>
  <si>
    <t xml:space="preserve">M_A = P·a·b²/L²</t>
  </si>
  <si>
    <t xml:space="preserve">Momento all’incastro finale</t>
  </si>
  <si>
    <t xml:space="preserve">M_B = P·a²·b/L²</t>
  </si>
  <si>
    <t xml:space="preserve">Reazione verticale iniziale</t>
  </si>
  <si>
    <t xml:space="preserve">R_A = P·b²·(3a + b)/L³</t>
  </si>
  <si>
    <t xml:space="preserve">Reazione verticale finale</t>
  </si>
  <si>
    <t xml:space="preserve">R_B = P·a²·(a + 3b)/L³</t>
  </si>
  <si>
    <t xml:space="preserve">Confronto con l’app (versione 1.12.0, esempio «Trave con forza in campata»)</t>
  </si>
  <si>
    <t xml:space="preserve">In blu i valori dell’app (Risultati e pannello dell’asta), in grigio quelli del foglio con i dati iniziali. Lo scarto deve essere zero; se cambi le celle gialle il confronto non vale più.</t>
  </si>
  <si>
    <t xml:space="preserve">Valore app</t>
  </si>
  <si>
    <t xml:space="preserve">Foglio</t>
  </si>
  <si>
    <t xml:space="preserve">Scarto</t>
  </si>
  <si>
    <t xml:space="preserve">R_A [kN]</t>
  </si>
  <si>
    <t xml:space="preserve">R_B [kN]</t>
  </si>
  <si>
    <t xml:space="preserve">M_max [kNm]</t>
  </si>
  <si>
    <t xml:space="preserve">Freccia [mm]: in Avanzata, Nodo sul punto della forza → |v| del nodo</t>
  </si>
  <si>
    <t xml:space="preserve">Esercizio</t>
  </si>
  <si>
    <t xml:space="preserve">Esercizio 1 · Trave appoggiata con forza fuori mezzeria</t>
  </si>
  <si>
    <t xml:space="preserve">Una trave appoggiata lunga 5,00 m porta una forza di 30 kN verso il basso a 1,50 m dall’appoggio sinistro. Calcola le reazioni e il momento massimo. Controlla nell’app: Esempi → Trave con forza in campata, sposta il nodo 2 a x = 5 e nel pannello dell’asta imposta a = 1,5 e F = 30.</t>
  </si>
  <si>
    <t xml:space="preserve">a</t>
  </si>
  <si>
    <t xml:space="preserve">P</t>
  </si>
  <si>
    <t xml:space="preserve">R_A</t>
  </si>
  <si>
    <t xml:space="preserve">R_B</t>
  </si>
  <si>
    <t xml:space="preserve">M_max</t>
  </si>
  <si>
    <t xml:space="preserve">3 · Instabilità delle aste compresse (carico di punta)</t>
  </si>
  <si>
    <t xml:space="preserve">Lunghezza libera, snellezza, carico critico euleriano e verifiche NTC 2018 per acciaio, legno e calcestruzzo</t>
  </si>
  <si>
    <t xml:space="preserve">Il fenomeno</t>
  </si>
  <si>
    <t xml:space="preserve">Un’asta compressa e snella può sbandare lateralmente per un carico molto più basso di quello che porta a rottura il materiale. Eulero ha trovato il carico critico N_cr = π²·E·I_min / L₀², dove L₀ = β·L è la lunghezza libera d’inflessione e I_min il momento d’inerzia minimo: l’asta sbanda nella direzione in cui è più flessibile. La snellezza λ = L₀/ρ_min (ρ_min = √(I_min/A), raggio d’inerzia minimo) misura quanto l’asta è esposta al fenomeno. Le norme correggono Eulero con le imperfezioni reali delle aste.</t>
  </si>
  <si>
    <t xml:space="preserve">Vincoli alle estremità</t>
  </si>
  <si>
    <t xml:space="preserve">β</t>
  </si>
  <si>
    <t xml:space="preserve">L₀</t>
  </si>
  <si>
    <t xml:space="preserve">Cerniera – cerniera (caso fondamentale)</t>
  </si>
  <si>
    <t xml:space="preserve">Incastro – cerniera</t>
  </si>
  <si>
    <t xml:space="preserve">0,7·L</t>
  </si>
  <si>
    <t xml:space="preserve">Incastro – incastro</t>
  </si>
  <si>
    <t xml:space="preserve">0,5·L</t>
  </si>
  <si>
    <t xml:space="preserve">Incastro – estremo libero (mensola)</t>
  </si>
  <si>
    <t xml:space="preserve">2·L</t>
  </si>
  <si>
    <t xml:space="preserve">Calcolo guidato 1 · Acciaio (NTC 2018 §4.2.4.1.3.1)</t>
  </si>
  <si>
    <t xml:space="preserve">Valori iniziali: l’esempio «Pilastro HEB 200 compresso». Per HEB 200: A = 78,10 cm², I_min = I_z = 2 003,4 cm⁴ (asse debole, curva c).</t>
  </si>
  <si>
    <t xml:space="preserve">Dal prontuario o dalla scheda Sezione.</t>
  </si>
  <si>
    <t xml:space="preserve">Momento d’inerzia minimo I_min</t>
  </si>
  <si>
    <t xml:space="preserve">Rispetto all’asse debole.</t>
  </si>
  <si>
    <t xml:space="preserve">Coefficiente β</t>
  </si>
  <si>
    <t xml:space="preserve">Dai vincoli (tabella in alto): 0,5 · 0,7 · 1 · 2.</t>
  </si>
  <si>
    <t xml:space="preserve">Compressione N_Ed</t>
  </si>
  <si>
    <t xml:space="preserve">Valore assoluto della compressione.</t>
  </si>
  <si>
    <t xml:space="preserve">f_yk</t>
  </si>
  <si>
    <t xml:space="preserve">S275: 275 MPa (spessori ≤ 40 mm).</t>
  </si>
  <si>
    <t xml:space="preserve">E</t>
  </si>
  <si>
    <t xml:space="preserve">Acciaio.</t>
  </si>
  <si>
    <t xml:space="preserve">Curva d’instabilità</t>
  </si>
  <si>
    <t xml:space="preserve">c</t>
  </si>
  <si>
    <t xml:space="preserve">a0 · a · b · c · d (NTC Tab. 4.2.VIII).</t>
  </si>
  <si>
    <t xml:space="preserve">γ_M1</t>
  </si>
  <si>
    <t xml:space="preserve">Coefficiente parziale per l’instabilità.</t>
  </si>
  <si>
    <t xml:space="preserve">Lunghezza libera L₀</t>
  </si>
  <si>
    <t xml:space="preserve">L₀ = β·L</t>
  </si>
  <si>
    <t xml:space="preserve">Raggio d’inerzia minimo ρ_min</t>
  </si>
  <si>
    <t xml:space="preserve">cm</t>
  </si>
  <si>
    <t xml:space="preserve">ρ = √(I_min/A)</t>
  </si>
  <si>
    <t xml:space="preserve">Snellezza λ</t>
  </si>
  <si>
    <t xml:space="preserve">λ = L₀/ρ (L₀ in cm); raccomandato λ ≤ 200</t>
  </si>
  <si>
    <t xml:space="preserve">Carico critico N_cr</t>
  </si>
  <si>
    <t xml:space="preserve">N_cr = π²·E·I/L₀²   (MPa, cm⁴, m → kN: diviso 10⁵)</t>
  </si>
  <si>
    <t xml:space="preserve">Snellezza adimensionale λ̄</t>
  </si>
  <si>
    <t xml:space="preserve">λ̄ = √(A·f_yk/N_cr)   (A·f_yk/10 in kN)</t>
  </si>
  <si>
    <t xml:space="preserve">Fattore di imperfezione α</t>
  </si>
  <si>
    <t xml:space="preserve">a0 0,13 · a 0,21 · b 0,34 · c 0,49 · d 0,76</t>
  </si>
  <si>
    <t xml:space="preserve">Φ</t>
  </si>
  <si>
    <t xml:space="preserve">Φ = 0,5·[1 + α·(λ̄ − 0,2) + λ̄²]</t>
  </si>
  <si>
    <t xml:space="preserve">Coefficiente χ</t>
  </si>
  <si>
    <t xml:space="preserve">χ = 1/[Φ + √(Φ² − λ̄²)] ≤ 1</t>
  </si>
  <si>
    <t xml:space="preserve">Resistenza all’instabilità N_b,Rd</t>
  </si>
  <si>
    <t xml:space="preserve">N_b,Rd = χ·A·f_yk/γ_M1</t>
  </si>
  <si>
    <t xml:space="preserve">Rapporto N_Ed / N_b,Rd</t>
  </si>
  <si>
    <t xml:space="preserve">Esito</t>
  </si>
  <si>
    <t xml:space="preserve">come nell’app</t>
  </si>
  <si>
    <t xml:space="preserve">Confronto con l’app (versione 1.12.0, esempio «Pilastro HEB 200 compresso», dati iniziali):</t>
  </si>
  <si>
    <t xml:space="preserve">λ</t>
  </si>
  <si>
    <t xml:space="preserve">N_cr [kN]</t>
  </si>
  <si>
    <t xml:space="preserve">χ</t>
  </si>
  <si>
    <t xml:space="preserve">N_b,Rd [kN]</t>
  </si>
  <si>
    <t xml:space="preserve">N_Ed/N_b,Rd</t>
  </si>
  <si>
    <t xml:space="preserve">Calcolo guidato 2 · Legno C24 (NTC 2018 §4.4.8.2.2)</t>
  </si>
  <si>
    <t xml:space="preserve">Base b</t>
  </si>
  <si>
    <t xml:space="preserve">Sezione rettangolare.</t>
  </si>
  <si>
    <t xml:space="preserve">Altezza h</t>
  </si>
  <si>
    <t xml:space="preserve">0,5 · 0,7 · 1 · 2</t>
  </si>
  <si>
    <t xml:space="preserve">f_c,0,k</t>
  </si>
  <si>
    <t xml:space="preserve">C24 (EN 338).</t>
  </si>
  <si>
    <t xml:space="preserve">E_0,05</t>
  </si>
  <si>
    <t xml:space="preserve">Modulo elastico caratteristico (frattile 5%).</t>
  </si>
  <si>
    <t xml:space="preserve">k_mod</t>
  </si>
  <si>
    <t xml:space="preserve">Media durata, classe di servizio 1–2 (come nell’app).</t>
  </si>
  <si>
    <t xml:space="preserve">γ_M</t>
  </si>
  <si>
    <t xml:space="preserve">Legno massiccio.</t>
  </si>
  <si>
    <t xml:space="preserve">β_c</t>
  </si>
  <si>
    <t xml:space="preserve">0,2 legno massiccio · 0,1 lamellare.</t>
  </si>
  <si>
    <t xml:space="preserve">A = b·h</t>
  </si>
  <si>
    <t xml:space="preserve">I_min</t>
  </si>
  <si>
    <t xml:space="preserve">I_min = lato maggiore × lato minore³ / 12</t>
  </si>
  <si>
    <t xml:space="preserve">ρ_min</t>
  </si>
  <si>
    <t xml:space="preserve">ρ = √(I/A) = lato minore/√12</t>
  </si>
  <si>
    <t xml:space="preserve">λ = β·L/ρ</t>
  </si>
  <si>
    <t xml:space="preserve">Snellezza relativa λ_rel,c</t>
  </si>
  <si>
    <t xml:space="preserve">λ_rel,c = (λ/π)·√(f_c,0,k/E_0,05)</t>
  </si>
  <si>
    <t xml:space="preserve">k</t>
  </si>
  <si>
    <t xml:space="preserve">k = 0,5·[1 + β_c·(λ_rel,c − 0,3) + λ_rel,c²]</t>
  </si>
  <si>
    <t xml:space="preserve">k_crit,c</t>
  </si>
  <si>
    <t xml:space="preserve">k_crit,c = 1/[k + √(k² − λ_rel,c²)]; = 1 se λ_rel,c ≤ 0,3</t>
  </si>
  <si>
    <t xml:space="preserve">σ_c,0,d</t>
  </si>
  <si>
    <t xml:space="preserve">σ = N/A</t>
  </si>
  <si>
    <t xml:space="preserve">f_c,0,d</t>
  </si>
  <si>
    <t xml:space="preserve">f_c,0,d = k_mod·f_c,0,k/γ_M</t>
  </si>
  <si>
    <t xml:space="preserve">Rapporto σ/(k_crit,c·f_c,0,d)</t>
  </si>
  <si>
    <t xml:space="preserve">Confronto con l’app: puntone C24 12×12 cm, L = 3 m, cerniera–cerniera, 50 kN (crea l’asta, «Calcola da rettangolo b×h» con Legno C24).</t>
  </si>
  <si>
    <t xml:space="preserve">Rapporto</t>
  </si>
  <si>
    <t xml:space="preserve">Calcolo guidato 3 · Calcestruzzo C25/30 (NTC 2018 §4.1.2.3.9.2)</t>
  </si>
  <si>
    <t xml:space="preserve">Per i pilastri in calcestruzzo armato le NTC non danno un coefficiente riduttivo: confrontano la snellezza con la snellezza limite λ*. Se λ ≤ λ* gli effetti del secondo ordine si possono trascurare; altrimenti serve un’analisi del secondo ordine, che Telaio 2D non svolge.</t>
  </si>
  <si>
    <t xml:space="preserve">f_ck</t>
  </si>
  <si>
    <t xml:space="preserve">C25/30; f_cd = 0,85·f_ck/1,5.</t>
  </si>
  <si>
    <t xml:space="preserve">r_m = M₀₁/M₀₂</t>
  </si>
  <si>
    <t xml:space="preserve">Rapporto dei momenti di estremità (|M₀₁| ≤ |M₀₂|), positivo se tendono le stesse fibre. Usa 1 con carichi trasversali, momenti nulli o nodi spostabili.</t>
  </si>
  <si>
    <t xml:space="preserve">Area A_c</t>
  </si>
  <si>
    <t xml:space="preserve">sezione rettangolare: lato minore/√12</t>
  </si>
  <si>
    <t xml:space="preserve">f_cd</t>
  </si>
  <si>
    <t xml:space="preserve">f_cd = α_cc·f_ck/γ_c</t>
  </si>
  <si>
    <t xml:space="preserve">ν</t>
  </si>
  <si>
    <t xml:space="preserve">ν = N_Ed/(A_c·f_cd)</t>
  </si>
  <si>
    <t xml:space="preserve">C</t>
  </si>
  <si>
    <t xml:space="preserve">C = 1,7 − r_m, fra 0,7 e 2,7</t>
  </si>
  <si>
    <t xml:space="preserve">Snellezza limite λ*</t>
  </si>
  <si>
    <t xml:space="preserve">λ* = 15,4·C/√ν</t>
  </si>
  <si>
    <t xml:space="preserve">Confronto con l’app: pilastro 30×30 cm, L = 4 m, cerniera–cerniera, 1000 kN (r_m = 1 perché i momenti di estremità sono nulli).</t>
  </si>
  <si>
    <t xml:space="preserve">λ*</t>
  </si>
  <si>
    <t xml:space="preserve">Esercizio 1 · Colonna IPE 200 in acciaio S275</t>
  </si>
  <si>
    <t xml:space="preserve">Una colonna IPE 200 (A = 28,49 cm², I_z = 142,4 cm⁴, curva b per l’asse debole) è alta 3,00 m, incernierata alle estremità (β = 1) e porta 150 kN. Calcola λ, N_cr, χ, N_b,Rd e il rapporto di verifica (f_yk = 275 MPa, E = 210 000 MPa, γ_M1 = 1,05). Poi prova nell’app assegnando la sezione IPE 200 dalla scheda Sezione.</t>
  </si>
  <si>
    <t xml:space="preserve">N_Ed</t>
  </si>
  <si>
    <t xml:space="preserve">N_cr</t>
  </si>
  <si>
    <t xml:space="preserve">N_b,Rd</t>
  </si>
  <si>
    <t xml:space="preserve">N_Ed / N_b,Rd</t>
  </si>
  <si>
    <t xml:space="preserve">Esercizio 2 · Puntone in legno C24</t>
  </si>
  <si>
    <t xml:space="preserve">Un puntone in legno C24 di sezione 10×10 cm, lungo 2,50 m e incernierato alle estremità, è compresso da 30 kN. Calcola λ, λ_rel,c, k_crit,c e il rapporto di verifica (f_c,0,k = 21 MPa, E_0,05 = 7 400 MPa, k_mod = 0,80, γ_M = 1,50, β_c = 0,2).</t>
  </si>
  <si>
    <t xml:space="preserve">lato</t>
  </si>
  <si>
    <t xml:space="preserve">λ_rel,c</t>
  </si>
  <si>
    <t xml:space="preserve">σ/(k_crit,c·f_c,0,d)</t>
  </si>
  <si>
    <t xml:space="preserve">Semplificazioni didattiche: un’unica lunghezza libera per i due piani, compressione semplice (senza flessione), nessuna instabilità flesso-torsionale. Per il progetto valgono le norme complete e il giudizio di un professionista abilitato.</t>
  </si>
  <si>
    <t xml:space="preserve">4 · Resistenze di calcolo secondo le NTC 2018</t>
  </si>
  <si>
    <t xml:space="preserve">Valori didattici calcolati con le formule della norma; per il progetto fa fede il testo ufficiale</t>
  </si>
  <si>
    <t xml:space="preserve">Coefficienti</t>
  </si>
  <si>
    <t xml:space="preserve">Coefficiente</t>
  </si>
  <si>
    <t xml:space="preserve">Significato</t>
  </si>
  <si>
    <t xml:space="preserve">Riferimento</t>
  </si>
  <si>
    <t xml:space="preserve">γM0 (acciaio)</t>
  </si>
  <si>
    <t xml:space="preserve">coefficiente parziale per la resistenza delle sezioni in acciaio</t>
  </si>
  <si>
    <t xml:space="preserve">NTC 2018 §4.2.4.1.1</t>
  </si>
  <si>
    <t xml:space="preserve">αcc (calcestruzzo)</t>
  </si>
  <si>
    <t xml:space="preserve">coefficiente riduttivo per le resistenze di lunga durata</t>
  </si>
  <si>
    <t xml:space="preserve">NTC 2018 §4.1.2.1.1.1</t>
  </si>
  <si>
    <t xml:space="preserve">γc (calcestruzzo)</t>
  </si>
  <si>
    <t xml:space="preserve">coefficiente parziale di sicurezza del calcestruzzo</t>
  </si>
  <si>
    <t xml:space="preserve">kmod (legno)</t>
  </si>
  <si>
    <t xml:space="preserve">carico di media durata, classe di servizio 1 o 2 (valore usato nell’app)</t>
  </si>
  <si>
    <t xml:space="preserve">NTC 2018 §4.4.6, Tab. 4.4.IV</t>
  </si>
  <si>
    <t xml:space="preserve">γM (legno massiccio)</t>
  </si>
  <si>
    <t xml:space="preserve">coefficiente parziale del legno massiccio, colonna A</t>
  </si>
  <si>
    <t xml:space="preserve">NTC 2018 §4.4.6, Tab. 4.4.III</t>
  </si>
  <si>
    <t xml:space="preserve">γMl (legno lamellare)</t>
  </si>
  <si>
    <t xml:space="preserve">coefficiente parziale del legno lamellare incollato, colonna A</t>
  </si>
  <si>
    <t xml:space="preserve">k_mod per il legno (NTC 2018 Tab. 4.4.IV, legno massiccio e lamellare)</t>
  </si>
  <si>
    <t xml:space="preserve">Classe di servizio</t>
  </si>
  <si>
    <t xml:space="preserve">Permanente</t>
  </si>
  <si>
    <t xml:space="preserve">Lunga</t>
  </si>
  <si>
    <t xml:space="preserve">Media</t>
  </si>
  <si>
    <t xml:space="preserve">Breve</t>
  </si>
  <si>
    <t xml:space="preserve">Istantanea</t>
  </si>
  <si>
    <t xml:space="preserve">ambienti chiusi e riscaldati (umidità ≤ 65%)</t>
  </si>
  <si>
    <t xml:space="preserve">ambienti coperti non riscaldati (umidità ≤ 85%)</t>
  </si>
  <si>
    <t xml:space="preserve">elementi esposti alle intemperie</t>
  </si>
  <si>
    <t xml:space="preserve">Durata: permanente oltre 10 anni (pesi propri), lunga 6 mesi–10 anni (magazzini), media 1 settimana–6 mesi (carichi variabili degli edifici), breve meno di 1 settimana (neve), istantanea (vento, azioni eccezionali). Con carichi di durata diversa si usa quella del carico più breve. Nell’app si sceglie nel pannello di un’asta in legno; qui scrivi il valore nella cella gialla «kmod» in alto.</t>
  </si>
  <si>
    <t xml:space="preserve">Materiali (questa tabella alimenta i fogli 1 e 3 e gli esercizi)</t>
  </si>
  <si>
    <t xml:space="preserve">Tipo</t>
  </si>
  <si>
    <t xml:space="preserve">f_k compr. [MPa]</t>
  </si>
  <si>
    <t xml:space="preserve">f_k traz. [MPa]</t>
  </si>
  <si>
    <t xml:space="preserve">E [MPa]</t>
  </si>
  <si>
    <t xml:space="preserve">f_d compr. [MPa]</t>
  </si>
  <si>
    <t xml:space="preserve">f_d traz. [MPa]</t>
  </si>
  <si>
    <t xml:space="preserve">Formula della resistenza di calcolo</t>
  </si>
  <si>
    <t xml:space="preserve">Note</t>
  </si>
  <si>
    <t xml:space="preserve">acciaio</t>
  </si>
  <si>
    <t xml:space="preserve">f_yd = f_yk / γM0</t>
  </si>
  <si>
    <t xml:space="preserve">f_yk per spessori t ≤ 40 mm (NTC 2018 Tab. 11.3.IX)</t>
  </si>
  <si>
    <t xml:space="preserve">Acciaio S355</t>
  </si>
  <si>
    <t xml:space="preserve">Acciaio S420</t>
  </si>
  <si>
    <t xml:space="preserve">Acciaio S460</t>
  </si>
  <si>
    <t xml:space="preserve">Calcestruzzo C16/20</t>
  </si>
  <si>
    <t xml:space="preserve">calcestruzzo</t>
  </si>
  <si>
    <t xml:space="preserve">f_cd = αcc·f_ck/γc · f_ctd = 0,7·f_ctm/γc</t>
  </si>
  <si>
    <t xml:space="preserve">colonna «f_k traz.» = f_ctm = 0,30·f_ck^(2/3); E = E_cm = 22 000·(f_cm/10)^0,3 con f_cm = f_ck + 8 (NTC §11.2.10). L’app usa i valori arrotondati della UNI EN 1992-1-1 Tab. 3.1 (per C25/30: 31 000 MPa)</t>
  </si>
  <si>
    <t xml:space="preserve">Calcestruzzo C20/25</t>
  </si>
  <si>
    <t xml:space="preserve">Calcestruzzo C28/35</t>
  </si>
  <si>
    <t xml:space="preserve">Calcestruzzo C30/37</t>
  </si>
  <si>
    <t xml:space="preserve">Calcestruzzo C32/40</t>
  </si>
  <si>
    <t xml:space="preserve">Calcestruzzo C35/45</t>
  </si>
  <si>
    <t xml:space="preserve">Calcestruzzo C40/50</t>
  </si>
  <si>
    <t xml:space="preserve">Calcestruzzo C45/55</t>
  </si>
  <si>
    <t xml:space="preserve">Calcestruzzo C50/60</t>
  </si>
  <si>
    <t xml:space="preserve">Legno C14</t>
  </si>
  <si>
    <t xml:space="preserve">legno massiccio</t>
  </si>
  <si>
    <t xml:space="preserve">f_d = kmod·f_k/γM</t>
  </si>
  <si>
    <t xml:space="preserve">f_c,0,k, f_t,0,k ed E_0,mean da EN 338:2016</t>
  </si>
  <si>
    <t xml:space="preserve">Legno C16</t>
  </si>
  <si>
    <t xml:space="preserve">Legno C18</t>
  </si>
  <si>
    <t xml:space="preserve">Legno C20</t>
  </si>
  <si>
    <t xml:space="preserve">Legno C22</t>
  </si>
  <si>
    <t xml:space="preserve">Legno C27</t>
  </si>
  <si>
    <t xml:space="preserve">Legno C30</t>
  </si>
  <si>
    <t xml:space="preserve">Legno C35</t>
  </si>
  <si>
    <t xml:space="preserve">Legno C40</t>
  </si>
  <si>
    <t xml:space="preserve">Legno lamellare GL24h</t>
  </si>
  <si>
    <t xml:space="preserve">legno lamellare</t>
  </si>
  <si>
    <t xml:space="preserve">f_c,0,g,k, f_t,0,g,k ed E_0,g,mean da EN 14080:2013</t>
  </si>
  <si>
    <t xml:space="preserve">Legno lamellare GL28h</t>
  </si>
  <si>
    <t xml:space="preserve">Legno lamellare GL30h</t>
  </si>
  <si>
    <t xml:space="preserve">Legno lamellare GL32h</t>
  </si>
  <si>
    <t xml:space="preserve">Note. Il calcestruzzo teso ha una resistenza molto bassa: nelle strutture in calcestruzzo armato la trazione si affida alle armature. Per il legno i valori dipendono dalla durata del carico e dalla classe di servizio (kmod) e dal tipo di prodotto (γM): qui sono fissati come nell’app. Puoi cambiare i coefficienti e i valori caratteristici nelle celle gialle: tutto il file si aggiorna.</t>
  </si>
  <si>
    <t xml:space="preserve">5 · Fonti e norme di riferimento</t>
  </si>
  <si>
    <t xml:space="preserve">Situazione normativa verificata a ottobre 2026</t>
  </si>
  <si>
    <t xml:space="preserve">Norme in vigore</t>
  </si>
  <si>
    <t xml:space="preserve">Contenuto e collegamento</t>
  </si>
  <si>
    <t xml:space="preserve">NTC 2018</t>
  </si>
  <si>
    <t xml:space="preserve">D.M. 17 gennaio 2018 «Aggiornamento delle Norme tecniche per le costruzioni», G.U. n. 42 del 20/02/2018, S.O. n. 8; in vigore dal 22/03/2018. È la norma tecnica vigente.</t>
  </si>
  <si>
    <t xml:space="preserve">Circolare n. 7/2019</t>
  </si>
  <si>
    <t xml:space="preserve">Circolare 21 gennaio 2019, n. 7 C.S.LL.PP., istruzioni per l’applicazione delle NTC 2018, G.U. n. 35 del 11/02/2019, S.O. n. 5.</t>
  </si>
  <si>
    <t xml:space="preserve">D.M. 9 marzo 2023</t>
  </si>
  <si>
    <t xml:space="preserve">Modifica le NTC 2018 (G.U. n. 69 del 22/03/2023): regime transitorio portato a sette anni e sospensione temporanea dei punti 11.4.2 e 11.5.2. Non modifica i coefficienti dei materiali usati qui.</t>
  </si>
  <si>
    <t xml:space="preserve">Revisione in corso</t>
  </si>
  <si>
    <t xml:space="preserve">Il 20/02/2025 il C.S.LL.PP. ha nominato la commissione per le nuove NTC: data di uscita non ancora definita.</t>
  </si>
  <si>
    <t xml:space="preserve">Appendici nazionali Eurocodici</t>
  </si>
  <si>
    <t xml:space="preserve">Intesa in Conferenza Unificata del 7/07/2026 sulle nuove Appendici nazionali: diventano operative con la pubblicazione in G.U. Integrano le NTC 2018, non le sostituiscono.</t>
  </si>
  <si>
    <t xml:space="preserve">EN 338:2016</t>
  </si>
  <si>
    <t xml:space="preserve">Classi di resistenza del legno strutturale: C24 con f_c,0,k = 21 MPa, f_t,0,k = 14,5 MPa, E_0,mean = 11 000 MPa, E_0,05 = 7 400 MPa.</t>
  </si>
  <si>
    <t xml:space="preserve">Instabilità: acciaio</t>
  </si>
  <si>
    <t xml:space="preserve">NTC 2018 §4.2.4.1.3.1 «Stabilità delle membrature»: χ dalle curve d’instabilità (Tab. 4.2.VIII, fattori di imperfezione α), N_b,Rd = χ·A·f_yk/γ_M1 con γ_M1 = 1,05; snellezza raccomandata λ ≤ 200 (membrature principali).</t>
  </si>
  <si>
    <t xml:space="preserve">Instabilità: legno</t>
  </si>
  <si>
    <t xml:space="preserve">NTC 2018 §4.4.8.2.2 «Elementi compressi»: k_crit,c in funzione di λ_rel,c, con β_c = 0,2 per il legno massiccio (0,1 per il lamellare).</t>
  </si>
  <si>
    <t xml:space="preserve">Instabilità: calcestruzzo</t>
  </si>
  <si>
    <t xml:space="preserve">NTC 2018 §4.1.2.3.9.2 «Snellezza limite per pilastri singoli»: λ* = 15,4·C/√ν, con C = 1,7 − r_m (0,7 ≤ C ≤ 2,7).</t>
  </si>
  <si>
    <t xml:space="preserve">Guida online</t>
  </si>
  <si>
    <t xml:space="preserve">Pagina «Come si usa Telaio2D» su vivi.green.</t>
  </si>
  <si>
    <t xml:space="preserve">Dati dei profilati</t>
  </si>
  <si>
    <t xml:space="preserve">Area e momenti d’inerzia dei profilati IPE, HEA, HEB, UPN e L sono calcolati dalla geometria delle norme EN 10365, EN 10279 ed EN 10056-1 con la libreria structuralcodes (fib, licenza Apache 2.0). Lo scarto dai prontuari è inferiore allo 0,15% per IPE e HE.</t>
  </si>
  <si>
    <t xml:space="preserve">Tutti i valori hanno scopo didattico. Per il progetto fanno fede i testi ufficiali delle norme, i prontuari dei produttori e il giudizio di un professionista abilitato.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</si>
</sst>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0"/>
    <numFmt numFmtId="166" formatCode="#,##0"/>
    <numFmt numFmtId="167" formatCode="0.0000"/>
    <numFmt numFmtId="168" formatCode="0.0000E+00"/>
    <numFmt numFmtId="169" formatCode="0"/>
    <numFmt numFmtId="170" formatCode="0.000"/>
    <numFmt numFmtId="171" formatCode="0.0"/>
    <numFmt numFmtId="172" formatCode="#,##0.0"/>
    <numFmt numFmtId="173" formatCode="#,##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10"/>
      <color rgb="FF475467"/>
      <name val="Arial"/>
      <family val="0"/>
      <charset val="1"/>
    </font>
    <font>
      <b val="true"/>
      <sz val="13"/>
      <color rgb="FF1D58D6"/>
      <name val="Arial"/>
      <family val="0"/>
      <charset val="1"/>
    </font>
    <font>
      <sz val="10"/>
      <color rgb="FF1F2937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0"/>
      <color rgb="FF1D58D6"/>
      <name val="Arial"/>
      <family val="0"/>
      <charset val="1"/>
    </font>
    <font>
      <b val="true"/>
      <sz val="10"/>
      <color rgb="FF0F2442"/>
      <name val="Arial"/>
      <family val="0"/>
      <charset val="1"/>
    </font>
    <font>
      <i val="true"/>
      <sz val="9"/>
      <color rgb="FF475467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0"/>
      <name val="Arial"/>
      <family val="2"/>
    </font>
    <font>
      <sz val="10"/>
      <color rgb="FF1D58D6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F2442"/>
        <bgColor rgb="FF1F2937"/>
      </patternFill>
    </fill>
    <fill>
      <patternFill patternType="solid">
        <fgColor rgb="FFFFF2CC"/>
        <bgColor rgb="FFFFF4E5"/>
      </patternFill>
    </fill>
    <fill>
      <patternFill patternType="solid">
        <fgColor rgb="FFF2F4F7"/>
        <bgColor rgb="FFFFF4E5"/>
      </patternFill>
    </fill>
    <fill>
      <patternFill patternType="solid">
        <fgColor rgb="FFDCE6F7"/>
        <bgColor rgb="FFF2F4F7"/>
      </patternFill>
    </fill>
    <fill>
      <patternFill patternType="solid">
        <fgColor rgb="FFFFF4E5"/>
        <bgColor rgb="FFFFF2CC"/>
      </patternFill>
    </fill>
    <fill>
      <patternFill patternType="solid">
        <fgColor rgb="FF1D58D6"/>
        <bgColor rgb="FF3366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8C2D0"/>
      </left>
      <right style="thin">
        <color rgb="FFB8C2D0"/>
      </right>
      <top style="thin">
        <color rgb="FFB8C2D0"/>
      </top>
      <bottom style="thin">
        <color rgb="FFB8C2D0"/>
      </bottom>
      <diagonal/>
    </border>
    <border diagonalUp="false" diagonalDown="false">
      <left style="thin">
        <color rgb="FFB8C2D0"/>
      </left>
      <right/>
      <top style="thin">
        <color rgb="FFB8C2D0"/>
      </top>
      <bottom style="thin">
        <color rgb="FFB8C2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9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9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9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7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70" fontId="7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7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3" fontId="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2D0"/>
      <rgbColor rgb="FF808080"/>
      <rgbColor rgb="FF9999FF"/>
      <rgbColor rgb="FF993366"/>
      <rgbColor rgb="FFFFF2CC"/>
      <rgbColor rgb="FFDCE6F7"/>
      <rgbColor rgb="FF660066"/>
      <rgbColor rgb="FFFF8080"/>
      <rgbColor rgb="FF1D58D6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4F7"/>
      <rgbColor rgb="FFCCFFCC"/>
      <rgbColor rgb="FFFFF4E5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75467"/>
      <rgbColor rgb="FF969696"/>
      <rgbColor rgb="FF0F2442"/>
      <rgbColor rgb="FF339966"/>
      <rgbColor rgb="FF003300"/>
      <rgbColor rgb="FF333300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70"/>
    <col collapsed="false" customWidth="true" hidden="false" outlineLevel="0" max="4" min="4" style="0" width="22"/>
  </cols>
  <sheetData>
    <row r="1" customFormat="false" ht="33.75" hidden="false" customHeight="true" outlineLevel="0" collapsed="false">
      <c r="A1" s="1" t="s">
        <v>0</v>
      </c>
      <c r="B1" s="1"/>
      <c r="C1" s="1"/>
      <c r="D1" s="1"/>
    </row>
    <row r="2" customFormat="false" ht="19.5" hidden="false" customHeight="true" outlineLevel="0" collapsed="false">
      <c r="A2" s="2" t="s">
        <v>1</v>
      </c>
      <c r="B2" s="2"/>
      <c r="C2" s="2"/>
      <c r="D2" s="2"/>
    </row>
    <row r="4" customFormat="false" ht="21.75" hidden="false" customHeight="true" outlineLevel="0" collapsed="false">
      <c r="A4" s="3" t="s">
        <v>2</v>
      </c>
    </row>
    <row r="5" customFormat="false" ht="45.75" hidden="false" customHeight="true" outlineLevel="0" collapsed="false">
      <c r="A5" s="4" t="s">
        <v>3</v>
      </c>
      <c r="B5" s="4"/>
      <c r="C5" s="4"/>
      <c r="D5" s="4"/>
    </row>
    <row r="6" customFormat="false" ht="15" hidden="false" customHeight="false" outlineLevel="0" collapsed="false">
      <c r="B6" s="5" t="s">
        <v>4</v>
      </c>
      <c r="C6" s="6" t="s">
        <v>5</v>
      </c>
    </row>
    <row r="7" customFormat="false" ht="15" hidden="false" customHeight="false" outlineLevel="0" collapsed="false">
      <c r="B7" s="7" t="s">
        <v>6</v>
      </c>
      <c r="C7" s="6" t="s">
        <v>7</v>
      </c>
    </row>
    <row r="8" customFormat="false" ht="15" hidden="false" customHeight="false" outlineLevel="0" collapsed="false">
      <c r="B8" s="8" t="s">
        <v>8</v>
      </c>
      <c r="C8" s="6" t="s">
        <v>9</v>
      </c>
    </row>
    <row r="10" customFormat="false" ht="21.75" hidden="false" customHeight="true" outlineLevel="0" collapsed="false">
      <c r="A10" s="3" t="s">
        <v>10</v>
      </c>
    </row>
    <row r="11" customFormat="false" ht="30" hidden="false" customHeight="true" outlineLevel="0" collapsed="false">
      <c r="B11" s="9" t="s">
        <v>11</v>
      </c>
      <c r="C11" s="6" t="s">
        <v>12</v>
      </c>
      <c r="D11" s="10" t="str">
        <f aca="false">HYPERLINK("https://vivi.green/come-si-usa-telaio2d/","Apri sul sito ›")</f>
        <v>Apri sul sito ›</v>
      </c>
    </row>
    <row r="12" customFormat="false" ht="30" hidden="false" customHeight="true" outlineLevel="0" collapsed="false">
      <c r="B12" s="9" t="s">
        <v>13</v>
      </c>
      <c r="C12" s="6" t="s">
        <v>14</v>
      </c>
      <c r="D12" s="10" t="str">
        <f aca="false">HYPERLINK("https://vivi.green/telaio-2d/","Apri sul sito ›")</f>
        <v>Apri sul sito ›</v>
      </c>
    </row>
    <row r="14" customFormat="false" ht="21.75" hidden="false" customHeight="true" outlineLevel="0" collapsed="false">
      <c r="A14" s="3" t="s">
        <v>15</v>
      </c>
    </row>
    <row r="15" customFormat="false" ht="30" hidden="false" customHeight="true" outlineLevel="0" collapsed="false">
      <c r="A15" s="11" t="s">
        <v>16</v>
      </c>
      <c r="B15" s="11" t="s">
        <v>17</v>
      </c>
      <c r="C15" s="11" t="s">
        <v>18</v>
      </c>
      <c r="D15" s="11" t="s">
        <v>19</v>
      </c>
    </row>
    <row r="16" customFormat="false" ht="31.5" hidden="false" customHeight="true" outlineLevel="0" collapsed="false">
      <c r="A16" s="12" t="s">
        <v>20</v>
      </c>
      <c r="B16" s="9" t="s">
        <v>21</v>
      </c>
      <c r="C16" s="6" t="s">
        <v>22</v>
      </c>
      <c r="D16" s="10" t="str">
        <f aca="false">HYPERLINK("#'1 Tensioni'!A1","Apri ›")</f>
        <v>Apri ›</v>
      </c>
    </row>
    <row r="17" customFormat="false" ht="31.5" hidden="false" customHeight="true" outlineLevel="0" collapsed="false">
      <c r="A17" s="12" t="s">
        <v>23</v>
      </c>
      <c r="B17" s="9" t="s">
        <v>24</v>
      </c>
      <c r="C17" s="6" t="s">
        <v>25</v>
      </c>
      <c r="D17" s="10" t="str">
        <f aca="false">HYPERLINK("#'2 Forze in campata'!A1","Apri ›")</f>
        <v>Apri ›</v>
      </c>
    </row>
    <row r="18" customFormat="false" ht="31.5" hidden="false" customHeight="true" outlineLevel="0" collapsed="false">
      <c r="A18" s="12" t="s">
        <v>26</v>
      </c>
      <c r="B18" s="9" t="s">
        <v>27</v>
      </c>
      <c r="C18" s="6" t="s">
        <v>28</v>
      </c>
      <c r="D18" s="10" t="str">
        <f aca="false">HYPERLINK("#'3 Instabilità'!A1","Apri ›")</f>
        <v>Apri ›</v>
      </c>
    </row>
    <row r="19" customFormat="false" ht="31.5" hidden="false" customHeight="true" outlineLevel="0" collapsed="false">
      <c r="A19" s="12" t="s">
        <v>29</v>
      </c>
      <c r="B19" s="9" t="s">
        <v>30</v>
      </c>
      <c r="C19" s="6" t="s">
        <v>31</v>
      </c>
      <c r="D19" s="10" t="str">
        <f aca="false">HYPERLINK("#'4 Resistenze NTC'!A1","Apri ›")</f>
        <v>Apri ›</v>
      </c>
    </row>
    <row r="20" customFormat="false" ht="31.5" hidden="false" customHeight="true" outlineLevel="0" collapsed="false">
      <c r="A20" s="12" t="s">
        <v>32</v>
      </c>
      <c r="B20" s="9" t="s">
        <v>33</v>
      </c>
      <c r="C20" s="6" t="s">
        <v>34</v>
      </c>
      <c r="D20" s="10" t="str">
        <f aca="false">HYPERLINK("#'5 Fonti'!A1","Apri ›")</f>
        <v>Apri ›</v>
      </c>
    </row>
    <row r="22" customFormat="false" ht="21.75" hidden="false" customHeight="true" outlineLevel="0" collapsed="false">
      <c r="A22" s="3" t="s">
        <v>35</v>
      </c>
    </row>
    <row r="23" customFormat="false" ht="45.75" hidden="false" customHeight="true" outlineLevel="0" collapsed="false">
      <c r="A23" s="13" t="s">
        <v>36</v>
      </c>
      <c r="B23" s="13"/>
      <c r="C23" s="13"/>
      <c r="D23" s="13"/>
    </row>
  </sheetData>
  <mergeCells count="4">
    <mergeCell ref="A1:D1"/>
    <mergeCell ref="A2:D2"/>
    <mergeCell ref="A5:D5"/>
    <mergeCell ref="A23:D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8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3" min="3" style="0" width="11"/>
    <col collapsed="false" customWidth="true" hidden="false" outlineLevel="0" max="4" min="4" style="0" width="8"/>
    <col collapsed="false" customWidth="true" hidden="false" outlineLevel="0" max="5" min="5" style="0" width="44"/>
    <col collapsed="false" customWidth="true" hidden="false" outlineLevel="0" max="8" min="6" style="0" width="14"/>
  </cols>
  <sheetData>
    <row r="1" customFormat="false" ht="33.75" hidden="false" customHeight="true" outlineLevel="0" collapsed="false">
      <c r="A1" s="1" t="s">
        <v>37</v>
      </c>
      <c r="B1" s="1"/>
      <c r="C1" s="1"/>
      <c r="D1" s="1"/>
      <c r="E1" s="1"/>
      <c r="F1" s="1"/>
      <c r="G1" s="1"/>
      <c r="H1" s="1"/>
    </row>
    <row r="2" customFormat="false" ht="19.5" hidden="false" customHeight="true" outlineLevel="0" collapsed="false">
      <c r="A2" s="2" t="s">
        <v>38</v>
      </c>
      <c r="B2" s="2"/>
      <c r="C2" s="2"/>
      <c r="D2" s="2"/>
      <c r="E2" s="2"/>
      <c r="F2" s="2"/>
      <c r="G2" s="2"/>
      <c r="H2" s="2"/>
    </row>
    <row r="4" customFormat="false" ht="24" hidden="false" customHeight="true" outlineLevel="0" collapsed="false">
      <c r="A4" s="14" t="str">
        <f aca="false">HYPERLINK("https://vivi.green/come-si-usa-telaio2d/#t2g-tensioni","📖 Teoria ed esempio guidato nell’app (portale con HEA 200): guida, capitolo 4. ›")</f>
        <v>📖 Teoria ed esempio guidato nell’app (portale con HEA 200): guida, capitolo 4. ›</v>
      </c>
      <c r="B4" s="14"/>
      <c r="C4" s="14"/>
      <c r="D4" s="14"/>
      <c r="E4" s="14"/>
      <c r="F4" s="14"/>
      <c r="G4" s="14"/>
      <c r="H4" s="14"/>
    </row>
    <row r="6" customFormat="false" ht="21.75" hidden="false" customHeight="true" outlineLevel="0" collapsed="false">
      <c r="A6" s="3" t="s">
        <v>39</v>
      </c>
    </row>
    <row r="7" customFormat="false" ht="30" hidden="false" customHeight="true" outlineLevel="0" collapsed="false">
      <c r="A7" s="11" t="s">
        <v>40</v>
      </c>
      <c r="B7" s="11" t="s">
        <v>41</v>
      </c>
      <c r="C7" s="11" t="s">
        <v>42</v>
      </c>
      <c r="D7" s="11"/>
      <c r="E7" s="11" t="s">
        <v>43</v>
      </c>
    </row>
    <row r="8" customFormat="false" ht="30" hidden="false" customHeight="true" outlineLevel="0" collapsed="false">
      <c r="A8" s="9" t="s">
        <v>44</v>
      </c>
      <c r="B8" s="15" t="s">
        <v>45</v>
      </c>
      <c r="C8" s="12"/>
      <c r="E8" s="16" t="s">
        <v>46</v>
      </c>
      <c r="F8" s="16"/>
      <c r="G8" s="16"/>
      <c r="H8" s="16"/>
    </row>
    <row r="9" customFormat="false" ht="30" hidden="false" customHeight="true" outlineLevel="0" collapsed="false">
      <c r="A9" s="9" t="s">
        <v>47</v>
      </c>
      <c r="B9" s="17" t="n">
        <v>-47.67</v>
      </c>
      <c r="C9" s="12" t="s">
        <v>48</v>
      </c>
      <c r="E9" s="16" t="s">
        <v>49</v>
      </c>
      <c r="F9" s="16"/>
      <c r="G9" s="16"/>
      <c r="H9" s="16"/>
    </row>
    <row r="10" customFormat="false" ht="30" hidden="false" customHeight="true" outlineLevel="0" collapsed="false">
      <c r="A10" s="9" t="s">
        <v>50</v>
      </c>
      <c r="B10" s="17" t="n">
        <v>53.85</v>
      </c>
      <c r="C10" s="12" t="s">
        <v>51</v>
      </c>
      <c r="E10" s="16" t="s">
        <v>52</v>
      </c>
      <c r="F10" s="16"/>
      <c r="G10" s="16"/>
      <c r="H10" s="16"/>
    </row>
    <row r="11" customFormat="false" ht="30" hidden="false" customHeight="true" outlineLevel="0" collapsed="false">
      <c r="A11" s="9" t="s">
        <v>53</v>
      </c>
      <c r="B11" s="17" t="n">
        <v>4</v>
      </c>
      <c r="C11" s="12" t="s">
        <v>54</v>
      </c>
      <c r="E11" s="16" t="s">
        <v>55</v>
      </c>
      <c r="F11" s="16"/>
      <c r="G11" s="16"/>
      <c r="H11" s="16"/>
    </row>
    <row r="12" customFormat="false" ht="30" hidden="false" customHeight="true" outlineLevel="0" collapsed="false">
      <c r="A12" s="9" t="s">
        <v>56</v>
      </c>
      <c r="B12" s="18"/>
      <c r="C12" s="12" t="s">
        <v>57</v>
      </c>
      <c r="E12" s="16" t="s">
        <v>58</v>
      </c>
      <c r="F12" s="16"/>
      <c r="G12" s="16"/>
      <c r="H12" s="16"/>
    </row>
    <row r="14" customFormat="false" ht="21.75" hidden="false" customHeight="true" outlineLevel="0" collapsed="false">
      <c r="A14" s="3" t="s">
        <v>59</v>
      </c>
    </row>
    <row r="15" customFormat="false" ht="30" hidden="false" customHeight="true" outlineLevel="0" collapsed="false">
      <c r="A15" s="11" t="s">
        <v>40</v>
      </c>
      <c r="B15" s="11" t="s">
        <v>60</v>
      </c>
      <c r="C15" s="11" t="s">
        <v>42</v>
      </c>
      <c r="D15" s="11"/>
      <c r="E15" s="11" t="s">
        <v>61</v>
      </c>
    </row>
    <row r="16" customFormat="false" ht="24" hidden="false" customHeight="true" outlineLevel="0" collapsed="false">
      <c r="A16" s="9" t="s">
        <v>62</v>
      </c>
      <c r="B16" s="19" t="n">
        <f aca="false">IF($B$12="",INDEX(TabMateriali,MATCH($B$8,Materiali,0),5),$B$12)</f>
        <v>210000</v>
      </c>
      <c r="C16" s="12" t="s">
        <v>57</v>
      </c>
      <c r="E16" s="16" t="s">
        <v>63</v>
      </c>
      <c r="F16" s="16"/>
      <c r="G16" s="16"/>
      <c r="H16" s="16"/>
    </row>
    <row r="17" customFormat="false" ht="24" hidden="false" customHeight="true" outlineLevel="0" collapsed="false">
      <c r="A17" s="9" t="s">
        <v>64</v>
      </c>
      <c r="B17" s="20" t="n">
        <f aca="false">$B$9*10/$B$10</f>
        <v>-8.85236768802229</v>
      </c>
      <c r="C17" s="12" t="s">
        <v>57</v>
      </c>
      <c r="E17" s="16" t="s">
        <v>65</v>
      </c>
      <c r="F17" s="16"/>
      <c r="G17" s="16"/>
      <c r="H17" s="16"/>
    </row>
    <row r="18" customFormat="false" ht="24" hidden="false" customHeight="true" outlineLevel="0" collapsed="false">
      <c r="A18" s="9" t="s">
        <v>66</v>
      </c>
      <c r="B18" s="21" t="n">
        <f aca="false">$B$17/$B$16</f>
        <v>-4.21541318477252E-005</v>
      </c>
      <c r="C18" s="12" t="s">
        <v>67</v>
      </c>
      <c r="E18" s="16" t="s">
        <v>68</v>
      </c>
      <c r="F18" s="16"/>
      <c r="G18" s="16"/>
      <c r="H18" s="16"/>
    </row>
    <row r="19" customFormat="false" ht="24" hidden="false" customHeight="true" outlineLevel="0" collapsed="false">
      <c r="A19" s="9" t="s">
        <v>69</v>
      </c>
      <c r="B19" s="22" t="n">
        <f aca="false">IF($B$18=0,0,INT(LOG10(ABS($B$18))))</f>
        <v>-5</v>
      </c>
      <c r="C19" s="12" t="s">
        <v>67</v>
      </c>
      <c r="E19" s="16" t="s">
        <v>70</v>
      </c>
      <c r="F19" s="16"/>
      <c r="G19" s="16"/>
      <c r="H19" s="16"/>
    </row>
    <row r="20" customFormat="false" ht="24" hidden="false" customHeight="true" outlineLevel="0" collapsed="false">
      <c r="A20" s="9" t="s">
        <v>71</v>
      </c>
      <c r="B20" s="23" t="n">
        <f aca="false">IF($B$18=0,0,$B$18/10^$B$19)</f>
        <v>-4.21541318477252</v>
      </c>
      <c r="C20" s="12" t="s">
        <v>67</v>
      </c>
      <c r="E20" s="16" t="s">
        <v>72</v>
      </c>
      <c r="F20" s="16"/>
      <c r="G20" s="16"/>
      <c r="H20" s="16"/>
    </row>
    <row r="21" customFormat="false" ht="24" hidden="false" customHeight="true" outlineLevel="0" collapsed="false">
      <c r="A21" s="9" t="s">
        <v>73</v>
      </c>
      <c r="B21" s="20" t="n">
        <f aca="false">$B$18*$B$11*1000</f>
        <v>-0.168616527390901</v>
      </c>
      <c r="C21" s="12" t="s">
        <v>74</v>
      </c>
      <c r="E21" s="16" t="s">
        <v>75</v>
      </c>
      <c r="F21" s="16"/>
      <c r="G21" s="16"/>
      <c r="H21" s="16"/>
    </row>
    <row r="22" customFormat="false" ht="24" hidden="false" customHeight="true" outlineLevel="0" collapsed="false">
      <c r="A22" s="9" t="s">
        <v>76</v>
      </c>
      <c r="B22" s="23" t="n">
        <f aca="false">$B$11+$B$21/1000</f>
        <v>3.99983138347261</v>
      </c>
      <c r="C22" s="12" t="s">
        <v>54</v>
      </c>
      <c r="E22" s="16" t="s">
        <v>77</v>
      </c>
      <c r="F22" s="16"/>
      <c r="G22" s="16"/>
      <c r="H22" s="16"/>
    </row>
    <row r="23" customFormat="false" ht="24" hidden="false" customHeight="true" outlineLevel="0" collapsed="false">
      <c r="A23" s="9" t="s">
        <v>78</v>
      </c>
      <c r="B23" s="24" t="n">
        <f aca="false">IF($B$17&lt;0,INDEX(TabMateriali,MATCH($B$8,Materiali,0),6),INDEX(TabMateriali,MATCH($B$8,Materiali,0),7))</f>
        <v>261.904761904762</v>
      </c>
      <c r="C23" s="12" t="s">
        <v>57</v>
      </c>
      <c r="E23" s="16" t="s">
        <v>79</v>
      </c>
      <c r="F23" s="16"/>
      <c r="G23" s="16"/>
      <c r="H23" s="16"/>
    </row>
    <row r="24" customFormat="false" ht="24" hidden="false" customHeight="true" outlineLevel="0" collapsed="false">
      <c r="A24" s="9" t="s">
        <v>80</v>
      </c>
      <c r="B24" s="25" t="n">
        <f aca="false">ABS($B$17)/$B$23</f>
        <v>0.0337999493542669</v>
      </c>
      <c r="C24" s="12" t="s">
        <v>67</v>
      </c>
      <c r="E24" s="16" t="s">
        <v>81</v>
      </c>
      <c r="F24" s="16"/>
      <c r="G24" s="16"/>
      <c r="H24" s="16"/>
    </row>
    <row r="25" customFormat="false" ht="30" hidden="false" customHeight="true" outlineLevel="0" collapsed="false">
      <c r="A25" s="9" t="s">
        <v>82</v>
      </c>
      <c r="B25" s="26" t="str">
        <f aca="false">IF($B$24&lt;=1,"VERIFICATA","NON VERIFICATA")</f>
        <v>VERIFICATA</v>
      </c>
      <c r="C25" s="26"/>
      <c r="E25" s="16" t="str">
        <f aca="false">IF($B$17&lt;0,"Asta compressa: controlla anche l’instabilità (carico di punta), foglio «3 Instabilità».","Asta tesa: la verifica di resistenza è quella determinante.")</f>
        <v>Asta compressa: controlla anche l’instabilità (carico di punta), foglio «3 Instabilità».</v>
      </c>
      <c r="F25" s="16"/>
      <c r="G25" s="16"/>
      <c r="H25" s="16"/>
    </row>
    <row r="27" customFormat="false" ht="21.75" hidden="false" customHeight="true" outlineLevel="0" collapsed="false">
      <c r="A27" s="3" t="s">
        <v>83</v>
      </c>
    </row>
    <row r="28" customFormat="false" ht="30" hidden="false" customHeight="true" outlineLevel="0" collapsed="false">
      <c r="A28" s="4" t="s">
        <v>84</v>
      </c>
      <c r="B28" s="4"/>
      <c r="C28" s="4"/>
      <c r="D28" s="4"/>
      <c r="E28" s="4"/>
      <c r="F28" s="4"/>
      <c r="G28" s="4"/>
      <c r="H28" s="4"/>
    </row>
    <row r="29" customFormat="false" ht="30" hidden="false" customHeight="true" outlineLevel="0" collapsed="false">
      <c r="A29" s="11" t="s">
        <v>85</v>
      </c>
      <c r="B29" s="11" t="s">
        <v>86</v>
      </c>
      <c r="C29" s="11" t="s">
        <v>87</v>
      </c>
      <c r="D29" s="11" t="s">
        <v>88</v>
      </c>
      <c r="E29" s="11" t="s">
        <v>89</v>
      </c>
      <c r="F29" s="11" t="s">
        <v>90</v>
      </c>
      <c r="G29" s="11" t="s">
        <v>91</v>
      </c>
      <c r="H29" s="11" t="s">
        <v>92</v>
      </c>
    </row>
    <row r="30" customFormat="false" ht="15" hidden="false" customHeight="false" outlineLevel="0" collapsed="false">
      <c r="A30" s="9" t="s">
        <v>93</v>
      </c>
      <c r="B30" s="27" t="n">
        <v>-42.335</v>
      </c>
      <c r="C30" s="28" t="n">
        <v>53.85</v>
      </c>
      <c r="D30" s="28" t="n">
        <v>4</v>
      </c>
      <c r="E30" s="23" t="n">
        <f aca="false">B30*10/C30</f>
        <v>-7.86165273909007</v>
      </c>
      <c r="F30" s="29" t="n">
        <f aca="false">E30/210000</f>
        <v>-3.74364416147146E-005</v>
      </c>
      <c r="G30" s="23" t="n">
        <f aca="false">F30*D30*1000</f>
        <v>-0.149745766458858</v>
      </c>
      <c r="H30" s="23" t="n">
        <f aca="false">G30-(-0.149746)</f>
        <v>2.33541141592131E-007</v>
      </c>
    </row>
    <row r="31" customFormat="false" ht="15" hidden="false" customHeight="false" outlineLevel="0" collapsed="false">
      <c r="A31" s="9" t="s">
        <v>94</v>
      </c>
      <c r="B31" s="27" t="n">
        <v>-17.6265</v>
      </c>
      <c r="C31" s="28" t="n">
        <v>53.85</v>
      </c>
      <c r="D31" s="28" t="n">
        <v>6</v>
      </c>
      <c r="E31" s="23" t="n">
        <f aca="false">B31*10/C31</f>
        <v>-3.27325905292479</v>
      </c>
      <c r="F31" s="29" t="n">
        <f aca="false">E31/210000</f>
        <v>-1.55869478710704E-005</v>
      </c>
      <c r="G31" s="23" t="n">
        <f aca="false">F31*D31*1000</f>
        <v>-0.0935216872264226</v>
      </c>
      <c r="H31" s="23" t="n">
        <f aca="false">G31-(-0.093522)</f>
        <v>3.12773577412773E-007</v>
      </c>
    </row>
    <row r="32" customFormat="false" ht="15" hidden="false" customHeight="false" outlineLevel="0" collapsed="false">
      <c r="A32" s="9" t="s">
        <v>95</v>
      </c>
      <c r="B32" s="27" t="n">
        <v>-47.665</v>
      </c>
      <c r="C32" s="28" t="n">
        <v>53.85</v>
      </c>
      <c r="D32" s="28" t="n">
        <v>4</v>
      </c>
      <c r="E32" s="23" t="n">
        <f aca="false">B32*10/C32</f>
        <v>-8.85143918291551</v>
      </c>
      <c r="F32" s="29" t="n">
        <f aca="false">E32/210000</f>
        <v>-4.21497103948357E-005</v>
      </c>
      <c r="G32" s="23" t="n">
        <f aca="false">F32*D32*1000</f>
        <v>-0.168598841579343</v>
      </c>
      <c r="H32" s="23" t="n">
        <f aca="false">G32-(-0.168599)</f>
        <v>1.58420657037084E-007</v>
      </c>
    </row>
    <row r="33" customFormat="false" ht="30" hidden="false" customHeight="true" outlineLevel="0" collapsed="false">
      <c r="A33" s="30" t="s">
        <v>96</v>
      </c>
      <c r="B33" s="30"/>
      <c r="C33" s="30"/>
      <c r="D33" s="30"/>
      <c r="E33" s="30"/>
      <c r="F33" s="30"/>
      <c r="G33" s="30"/>
      <c r="H33" s="30"/>
    </row>
    <row r="36" customFormat="false" ht="21.75" hidden="false" customHeight="true" outlineLevel="0" collapsed="false">
      <c r="A36" s="3" t="s">
        <v>97</v>
      </c>
    </row>
    <row r="37" customFormat="false" ht="30" hidden="false" customHeight="true" outlineLevel="0" collapsed="false">
      <c r="A37" s="4" t="s">
        <v>98</v>
      </c>
      <c r="B37" s="4"/>
      <c r="C37" s="4"/>
      <c r="D37" s="4"/>
      <c r="E37" s="4"/>
      <c r="F37" s="4"/>
      <c r="G37" s="4"/>
      <c r="H37" s="4"/>
    </row>
    <row r="38" customFormat="false" ht="21.75" hidden="false" customHeight="true" outlineLevel="0" collapsed="false">
      <c r="A38" s="31" t="s">
        <v>99</v>
      </c>
      <c r="B38" s="31"/>
      <c r="C38" s="31"/>
      <c r="D38" s="31"/>
      <c r="E38" s="31"/>
      <c r="F38" s="31"/>
      <c r="G38" s="31"/>
      <c r="H38" s="31"/>
    </row>
    <row r="39" customFormat="false" ht="45.75" hidden="false" customHeight="true" outlineLevel="0" collapsed="false">
      <c r="A39" s="4" t="s">
        <v>100</v>
      </c>
      <c r="B39" s="4"/>
      <c r="C39" s="4"/>
      <c r="D39" s="4"/>
      <c r="E39" s="4"/>
      <c r="F39" s="4"/>
      <c r="G39" s="4"/>
      <c r="H39" s="4"/>
    </row>
    <row r="40" customFormat="false" ht="30" hidden="false" customHeight="true" outlineLevel="0" collapsed="false">
      <c r="A40" s="11" t="s">
        <v>39</v>
      </c>
      <c r="B40" s="11" t="s">
        <v>41</v>
      </c>
      <c r="C40" s="11" t="s">
        <v>42</v>
      </c>
    </row>
    <row r="41" customFormat="false" ht="15" hidden="false" customHeight="false" outlineLevel="0" collapsed="false">
      <c r="A41" s="9" t="s">
        <v>44</v>
      </c>
      <c r="B41" s="8" t="s">
        <v>45</v>
      </c>
      <c r="C41" s="12"/>
    </row>
    <row r="42" customFormat="false" ht="15" hidden="false" customHeight="false" outlineLevel="0" collapsed="false">
      <c r="A42" s="9" t="s">
        <v>101</v>
      </c>
      <c r="B42" s="28" t="n">
        <v>-500</v>
      </c>
      <c r="C42" s="12" t="s">
        <v>48</v>
      </c>
    </row>
    <row r="43" customFormat="false" ht="15" hidden="false" customHeight="false" outlineLevel="0" collapsed="false">
      <c r="A43" s="9" t="s">
        <v>102</v>
      </c>
      <c r="B43" s="28" t="n">
        <v>28.48</v>
      </c>
      <c r="C43" s="12" t="s">
        <v>51</v>
      </c>
    </row>
    <row r="44" customFormat="false" ht="15" hidden="false" customHeight="false" outlineLevel="0" collapsed="false">
      <c r="A44" s="9" t="s">
        <v>103</v>
      </c>
      <c r="B44" s="28" t="n">
        <v>3</v>
      </c>
      <c r="C44" s="12" t="s">
        <v>54</v>
      </c>
    </row>
    <row r="45" customFormat="false" ht="30" hidden="false" customHeight="true" outlineLevel="0" collapsed="false">
      <c r="A45" s="11" t="s">
        <v>40</v>
      </c>
      <c r="B45" s="11" t="s">
        <v>104</v>
      </c>
      <c r="C45" s="11" t="s">
        <v>42</v>
      </c>
      <c r="D45" s="11"/>
      <c r="E45" s="11" t="s">
        <v>105</v>
      </c>
      <c r="F45" s="11" t="s">
        <v>106</v>
      </c>
    </row>
    <row r="46" customFormat="false" ht="15" hidden="false" customHeight="false" outlineLevel="0" collapsed="false">
      <c r="A46" s="9" t="s">
        <v>107</v>
      </c>
      <c r="B46" s="32"/>
      <c r="C46" s="12" t="s">
        <v>57</v>
      </c>
      <c r="E46" s="33" t="n">
        <f aca="false">$B$42*10/$B$43</f>
        <v>-175.561797752809</v>
      </c>
      <c r="F46" s="34" t="str">
        <f aca="false">IF(B46="","",IF(ABS(B46-E46)&lt;=0.01*ABS(E46),"✓ corretto","✗ ricontrolla"))</f>
        <v/>
      </c>
    </row>
    <row r="47" customFormat="false" ht="15" hidden="false" customHeight="false" outlineLevel="0" collapsed="false">
      <c r="A47" s="9" t="s">
        <v>108</v>
      </c>
      <c r="B47" s="35"/>
      <c r="C47" s="12" t="s">
        <v>67</v>
      </c>
      <c r="E47" s="29" t="n">
        <f aca="false">$E$46/INDEX(TabMateriali,MATCH($B$41,Materiali,0),5)</f>
        <v>-0.000836008560727662</v>
      </c>
      <c r="F47" s="34" t="str">
        <f aca="false">IF(B47="","",IF(ABS(B47-E47)&lt;=0.01*ABS(E47),"✓ corretto","✗ ricontrolla"))</f>
        <v/>
      </c>
    </row>
    <row r="48" customFormat="false" ht="15" hidden="false" customHeight="false" outlineLevel="0" collapsed="false">
      <c r="A48" s="9" t="s">
        <v>109</v>
      </c>
      <c r="B48" s="36"/>
      <c r="C48" s="12" t="s">
        <v>74</v>
      </c>
      <c r="E48" s="23" t="n">
        <f aca="false">$E$47*$B$44*1000</f>
        <v>-2.50802568218299</v>
      </c>
      <c r="F48" s="34" t="str">
        <f aca="false">IF(B48="","",IF(ABS(B48-E48)&lt;=0.01*ABS(E48),"✓ corretto","✗ ricontrolla"))</f>
        <v/>
      </c>
    </row>
    <row r="49" customFormat="false" ht="15" hidden="false" customHeight="false" outlineLevel="0" collapsed="false">
      <c r="A49" s="9" t="s">
        <v>110</v>
      </c>
      <c r="B49" s="32"/>
      <c r="C49" s="12" t="s">
        <v>67</v>
      </c>
      <c r="E49" s="33" t="n">
        <f aca="false">ABS($E$46)/IF($B$42&lt;0,INDEX(TabMateriali,MATCH($B$41,Materiali,0),6),INDEX(TabMateriali,MATCH($B$41,Materiali,0),7))</f>
        <v>0.670326864147089</v>
      </c>
      <c r="F49" s="34" t="str">
        <f aca="false">IF(B49="","",IF(ABS(B49-E49)&lt;=0.01*ABS(E49),"✓ corretto","✗ ricontrolla"))</f>
        <v/>
      </c>
    </row>
    <row r="51" customFormat="false" ht="21.75" hidden="false" customHeight="true" outlineLevel="0" collapsed="false">
      <c r="A51" s="31" t="s">
        <v>111</v>
      </c>
      <c r="B51" s="31"/>
      <c r="C51" s="31"/>
      <c r="D51" s="31"/>
      <c r="E51" s="31"/>
      <c r="F51" s="31"/>
      <c r="G51" s="31"/>
      <c r="H51" s="31"/>
    </row>
    <row r="52" customFormat="false" ht="45.75" hidden="false" customHeight="true" outlineLevel="0" collapsed="false">
      <c r="A52" s="4" t="s">
        <v>112</v>
      </c>
      <c r="B52" s="4"/>
      <c r="C52" s="4"/>
      <c r="D52" s="4"/>
      <c r="E52" s="4"/>
      <c r="F52" s="4"/>
      <c r="G52" s="4"/>
      <c r="H52" s="4"/>
    </row>
    <row r="53" customFormat="false" ht="30" hidden="false" customHeight="true" outlineLevel="0" collapsed="false">
      <c r="A53" s="11" t="s">
        <v>39</v>
      </c>
      <c r="B53" s="11" t="s">
        <v>41</v>
      </c>
      <c r="C53" s="11" t="s">
        <v>42</v>
      </c>
    </row>
    <row r="54" customFormat="false" ht="15" hidden="false" customHeight="false" outlineLevel="0" collapsed="false">
      <c r="A54" s="9" t="s">
        <v>44</v>
      </c>
      <c r="B54" s="8" t="s">
        <v>113</v>
      </c>
      <c r="C54" s="12"/>
    </row>
    <row r="55" customFormat="false" ht="15" hidden="false" customHeight="false" outlineLevel="0" collapsed="false">
      <c r="A55" s="9" t="s">
        <v>101</v>
      </c>
      <c r="B55" s="28" t="n">
        <v>60</v>
      </c>
      <c r="C55" s="12" t="s">
        <v>48</v>
      </c>
    </row>
    <row r="56" customFormat="false" ht="15" hidden="false" customHeight="false" outlineLevel="0" collapsed="false">
      <c r="A56" s="9" t="s">
        <v>102</v>
      </c>
      <c r="B56" s="28" t="n">
        <v>3.14159</v>
      </c>
      <c r="C56" s="12" t="s">
        <v>51</v>
      </c>
    </row>
    <row r="57" customFormat="false" ht="15" hidden="false" customHeight="false" outlineLevel="0" collapsed="false">
      <c r="A57" s="9" t="s">
        <v>103</v>
      </c>
      <c r="B57" s="28" t="n">
        <v>2.5</v>
      </c>
      <c r="C57" s="12" t="s">
        <v>54</v>
      </c>
    </row>
    <row r="58" customFormat="false" ht="30" hidden="false" customHeight="true" outlineLevel="0" collapsed="false">
      <c r="A58" s="11" t="s">
        <v>40</v>
      </c>
      <c r="B58" s="11" t="s">
        <v>104</v>
      </c>
      <c r="C58" s="11" t="s">
        <v>42</v>
      </c>
      <c r="D58" s="11"/>
      <c r="E58" s="11" t="s">
        <v>105</v>
      </c>
      <c r="F58" s="11" t="s">
        <v>106</v>
      </c>
    </row>
    <row r="59" customFormat="false" ht="15" hidden="false" customHeight="false" outlineLevel="0" collapsed="false">
      <c r="A59" s="9" t="s">
        <v>107</v>
      </c>
      <c r="B59" s="32"/>
      <c r="C59" s="12" t="s">
        <v>57</v>
      </c>
      <c r="E59" s="33" t="n">
        <f aca="false">$B$55*10/$B$56</f>
        <v>190.986093029326</v>
      </c>
      <c r="F59" s="34" t="str">
        <f aca="false">IF(B59="","",IF(ABS(B59-E59)&lt;=0.01*ABS(E59),"✓ corretto","✗ ricontrolla"))</f>
        <v/>
      </c>
    </row>
    <row r="60" customFormat="false" ht="15" hidden="false" customHeight="false" outlineLevel="0" collapsed="false">
      <c r="A60" s="9" t="s">
        <v>108</v>
      </c>
      <c r="B60" s="35"/>
      <c r="C60" s="12" t="s">
        <v>67</v>
      </c>
      <c r="E60" s="29" t="n">
        <f aca="false">$E$59/INDEX(TabMateriali,MATCH($B$54,Materiali,0),5)</f>
        <v>0.000909457585853933</v>
      </c>
      <c r="F60" s="34" t="str">
        <f aca="false">IF(B60="","",IF(ABS(B60-E60)&lt;=0.01*ABS(E60),"✓ corretto","✗ ricontrolla"))</f>
        <v/>
      </c>
    </row>
    <row r="61" customFormat="false" ht="15" hidden="false" customHeight="false" outlineLevel="0" collapsed="false">
      <c r="A61" s="9" t="s">
        <v>109</v>
      </c>
      <c r="B61" s="36"/>
      <c r="C61" s="12" t="s">
        <v>74</v>
      </c>
      <c r="E61" s="23" t="n">
        <f aca="false">$E$60*$B$57*1000</f>
        <v>2.27364396463483</v>
      </c>
      <c r="F61" s="34" t="str">
        <f aca="false">IF(B61="","",IF(ABS(B61-E61)&lt;=0.01*ABS(E61),"✓ corretto","✗ ricontrolla"))</f>
        <v/>
      </c>
    </row>
    <row r="62" customFormat="false" ht="15" hidden="false" customHeight="false" outlineLevel="0" collapsed="false">
      <c r="A62" s="9" t="s">
        <v>110</v>
      </c>
      <c r="B62" s="32"/>
      <c r="C62" s="12" t="s">
        <v>67</v>
      </c>
      <c r="E62" s="33" t="n">
        <f aca="false">ABS($E$59)/IF($B$55&lt;0,INDEX(TabMateriali,MATCH($B$54,Materiali,0),6),INDEX(TabMateriali,MATCH($B$54,Materiali,0),7))</f>
        <v>0.853342117790605</v>
      </c>
      <c r="F62" s="34" t="str">
        <f aca="false">IF(B62="","",IF(ABS(B62-E62)&lt;=0.01*ABS(E62),"✓ corretto","✗ ricontrolla"))</f>
        <v/>
      </c>
    </row>
    <row r="64" customFormat="false" ht="21.75" hidden="false" customHeight="true" outlineLevel="0" collapsed="false">
      <c r="A64" s="31" t="s">
        <v>114</v>
      </c>
      <c r="B64" s="31"/>
      <c r="C64" s="31"/>
      <c r="D64" s="31"/>
      <c r="E64" s="31"/>
      <c r="F64" s="31"/>
      <c r="G64" s="31"/>
      <c r="H64" s="31"/>
    </row>
    <row r="65" customFormat="false" ht="45.75" hidden="false" customHeight="true" outlineLevel="0" collapsed="false">
      <c r="A65" s="4" t="s">
        <v>115</v>
      </c>
      <c r="B65" s="4"/>
      <c r="C65" s="4"/>
      <c r="D65" s="4"/>
      <c r="E65" s="4"/>
      <c r="F65" s="4"/>
      <c r="G65" s="4"/>
      <c r="H65" s="4"/>
    </row>
    <row r="66" customFormat="false" ht="30" hidden="false" customHeight="true" outlineLevel="0" collapsed="false">
      <c r="A66" s="11" t="s">
        <v>39</v>
      </c>
      <c r="B66" s="11" t="s">
        <v>41</v>
      </c>
      <c r="C66" s="11" t="s">
        <v>42</v>
      </c>
    </row>
    <row r="67" customFormat="false" ht="23.85" hidden="false" customHeight="false" outlineLevel="0" collapsed="false">
      <c r="A67" s="9" t="s">
        <v>44</v>
      </c>
      <c r="B67" s="8" t="s">
        <v>116</v>
      </c>
      <c r="C67" s="12"/>
    </row>
    <row r="68" customFormat="false" ht="15" hidden="false" customHeight="false" outlineLevel="0" collapsed="false">
      <c r="A68" s="9" t="s">
        <v>101</v>
      </c>
      <c r="B68" s="28" t="n">
        <v>-900</v>
      </c>
      <c r="C68" s="12" t="s">
        <v>48</v>
      </c>
    </row>
    <row r="69" customFormat="false" ht="15" hidden="false" customHeight="false" outlineLevel="0" collapsed="false">
      <c r="A69" s="9" t="s">
        <v>102</v>
      </c>
      <c r="B69" s="28" t="n">
        <v>900</v>
      </c>
      <c r="C69" s="12" t="s">
        <v>51</v>
      </c>
    </row>
    <row r="70" customFormat="false" ht="15" hidden="false" customHeight="false" outlineLevel="0" collapsed="false">
      <c r="A70" s="9" t="s">
        <v>103</v>
      </c>
      <c r="B70" s="28" t="n">
        <v>3.2</v>
      </c>
      <c r="C70" s="12" t="s">
        <v>54</v>
      </c>
    </row>
    <row r="71" customFormat="false" ht="30" hidden="false" customHeight="true" outlineLevel="0" collapsed="false">
      <c r="A71" s="11" t="s">
        <v>40</v>
      </c>
      <c r="B71" s="11" t="s">
        <v>104</v>
      </c>
      <c r="C71" s="11" t="s">
        <v>42</v>
      </c>
      <c r="D71" s="11"/>
      <c r="E71" s="11" t="s">
        <v>105</v>
      </c>
      <c r="F71" s="11" t="s">
        <v>106</v>
      </c>
    </row>
    <row r="72" customFormat="false" ht="15" hidden="false" customHeight="false" outlineLevel="0" collapsed="false">
      <c r="A72" s="9" t="s">
        <v>107</v>
      </c>
      <c r="B72" s="32"/>
      <c r="C72" s="12" t="s">
        <v>57</v>
      </c>
      <c r="E72" s="33" t="n">
        <f aca="false">$B$68*10/$B$69</f>
        <v>-10</v>
      </c>
      <c r="F72" s="34" t="str">
        <f aca="false">IF(B72="","",IF(ABS(B72-E72)&lt;=0.01*ABS(E72),"✓ corretto","✗ ricontrolla"))</f>
        <v/>
      </c>
    </row>
    <row r="73" customFormat="false" ht="15" hidden="false" customHeight="false" outlineLevel="0" collapsed="false">
      <c r="A73" s="9" t="s">
        <v>108</v>
      </c>
      <c r="B73" s="35"/>
      <c r="C73" s="12" t="s">
        <v>67</v>
      </c>
      <c r="E73" s="29" t="n">
        <f aca="false">$E$72/INDEX(TabMateriali,MATCH($B$67,Materiali,0),5)</f>
        <v>-0.000317702376413776</v>
      </c>
      <c r="F73" s="34" t="str">
        <f aca="false">IF(B73="","",IF(ABS(B73-E73)&lt;=0.01*ABS(E73),"✓ corretto","✗ ricontrolla"))</f>
        <v/>
      </c>
    </row>
    <row r="74" customFormat="false" ht="15" hidden="false" customHeight="false" outlineLevel="0" collapsed="false">
      <c r="A74" s="9" t="s">
        <v>109</v>
      </c>
      <c r="B74" s="36"/>
      <c r="C74" s="12" t="s">
        <v>74</v>
      </c>
      <c r="E74" s="23" t="n">
        <f aca="false">$E$73*$B$70*1000</f>
        <v>-1.01664760452408</v>
      </c>
      <c r="F74" s="34" t="str">
        <f aca="false">IF(B74="","",IF(ABS(B74-E74)&lt;=0.01*ABS(E74),"✓ corretto","✗ ricontrolla"))</f>
        <v/>
      </c>
    </row>
    <row r="75" customFormat="false" ht="15" hidden="false" customHeight="false" outlineLevel="0" collapsed="false">
      <c r="A75" s="9" t="s">
        <v>110</v>
      </c>
      <c r="B75" s="32"/>
      <c r="C75" s="12" t="s">
        <v>67</v>
      </c>
      <c r="E75" s="33" t="n">
        <f aca="false">ABS($E$72)/IF($B$68&lt;0,INDEX(TabMateriali,MATCH($B$67,Materiali,0),6),INDEX(TabMateriali,MATCH($B$67,Materiali,0),7))</f>
        <v>0.705882352941177</v>
      </c>
      <c r="F75" s="34" t="str">
        <f aca="false">IF(B75="","",IF(ABS(B75-E75)&lt;=0.01*ABS(E75),"✓ corretto","✗ ricontrolla"))</f>
        <v/>
      </c>
    </row>
    <row r="77" customFormat="false" ht="21.75" hidden="false" customHeight="true" outlineLevel="0" collapsed="false">
      <c r="A77" s="31" t="s">
        <v>117</v>
      </c>
      <c r="B77" s="31"/>
      <c r="C77" s="31"/>
      <c r="D77" s="31"/>
      <c r="E77" s="31"/>
      <c r="F77" s="31"/>
      <c r="G77" s="31"/>
      <c r="H77" s="31"/>
    </row>
    <row r="78" customFormat="false" ht="45.75" hidden="false" customHeight="true" outlineLevel="0" collapsed="false">
      <c r="A78" s="4" t="s">
        <v>118</v>
      </c>
      <c r="B78" s="4"/>
      <c r="C78" s="4"/>
      <c r="D78" s="4"/>
      <c r="E78" s="4"/>
      <c r="F78" s="4"/>
      <c r="G78" s="4"/>
      <c r="H78" s="4"/>
    </row>
    <row r="79" customFormat="false" ht="30" hidden="false" customHeight="true" outlineLevel="0" collapsed="false">
      <c r="A79" s="11" t="s">
        <v>39</v>
      </c>
      <c r="B79" s="11" t="s">
        <v>41</v>
      </c>
      <c r="C79" s="11" t="s">
        <v>42</v>
      </c>
    </row>
    <row r="80" customFormat="false" ht="15" hidden="false" customHeight="false" outlineLevel="0" collapsed="false">
      <c r="A80" s="9" t="s">
        <v>44</v>
      </c>
      <c r="B80" s="8" t="s">
        <v>119</v>
      </c>
      <c r="C80" s="12"/>
    </row>
    <row r="81" customFormat="false" ht="15" hidden="false" customHeight="false" outlineLevel="0" collapsed="false">
      <c r="A81" s="9" t="s">
        <v>101</v>
      </c>
      <c r="B81" s="28" t="n">
        <v>-40</v>
      </c>
      <c r="C81" s="12" t="s">
        <v>48</v>
      </c>
    </row>
    <row r="82" customFormat="false" ht="15" hidden="false" customHeight="false" outlineLevel="0" collapsed="false">
      <c r="A82" s="9" t="s">
        <v>102</v>
      </c>
      <c r="B82" s="28" t="n">
        <v>144</v>
      </c>
      <c r="C82" s="12" t="s">
        <v>51</v>
      </c>
    </row>
    <row r="83" customFormat="false" ht="15" hidden="false" customHeight="false" outlineLevel="0" collapsed="false">
      <c r="A83" s="9" t="s">
        <v>103</v>
      </c>
      <c r="B83" s="28" t="n">
        <v>2</v>
      </c>
      <c r="C83" s="12" t="s">
        <v>54</v>
      </c>
    </row>
    <row r="84" customFormat="false" ht="30" hidden="false" customHeight="true" outlineLevel="0" collapsed="false">
      <c r="A84" s="11" t="s">
        <v>40</v>
      </c>
      <c r="B84" s="11" t="s">
        <v>104</v>
      </c>
      <c r="C84" s="11" t="s">
        <v>42</v>
      </c>
      <c r="D84" s="11"/>
      <c r="E84" s="11" t="s">
        <v>105</v>
      </c>
      <c r="F84" s="11" t="s">
        <v>106</v>
      </c>
    </row>
    <row r="85" customFormat="false" ht="15" hidden="false" customHeight="false" outlineLevel="0" collapsed="false">
      <c r="A85" s="9" t="s">
        <v>107</v>
      </c>
      <c r="B85" s="32"/>
      <c r="C85" s="12" t="s">
        <v>57</v>
      </c>
      <c r="E85" s="33" t="n">
        <f aca="false">$B$81*10/$B$82</f>
        <v>-2.77777777777778</v>
      </c>
      <c r="F85" s="34" t="str">
        <f aca="false">IF(B85="","",IF(ABS(B85-E85)&lt;=0.01*ABS(E85),"✓ corretto","✗ ricontrolla"))</f>
        <v/>
      </c>
    </row>
    <row r="86" customFormat="false" ht="15" hidden="false" customHeight="false" outlineLevel="0" collapsed="false">
      <c r="A86" s="9" t="s">
        <v>108</v>
      </c>
      <c r="B86" s="35"/>
      <c r="C86" s="12" t="s">
        <v>67</v>
      </c>
      <c r="E86" s="29" t="n">
        <f aca="false">$E$85/INDEX(TabMateriali,MATCH($B$80,Materiali,0),5)</f>
        <v>-0.000252525252525253</v>
      </c>
      <c r="F86" s="34" t="str">
        <f aca="false">IF(B86="","",IF(ABS(B86-E86)&lt;=0.01*ABS(E86),"✓ corretto","✗ ricontrolla"))</f>
        <v/>
      </c>
    </row>
    <row r="87" customFormat="false" ht="15" hidden="false" customHeight="false" outlineLevel="0" collapsed="false">
      <c r="A87" s="9" t="s">
        <v>109</v>
      </c>
      <c r="B87" s="36"/>
      <c r="C87" s="12" t="s">
        <v>74</v>
      </c>
      <c r="E87" s="23" t="n">
        <f aca="false">$E$86*$B$83*1000</f>
        <v>-0.505050505050505</v>
      </c>
      <c r="F87" s="34" t="str">
        <f aca="false">IF(B87="","",IF(ABS(B87-E87)&lt;=0.01*ABS(E87),"✓ corretto","✗ ricontrolla"))</f>
        <v/>
      </c>
    </row>
    <row r="88" customFormat="false" ht="15" hidden="false" customHeight="false" outlineLevel="0" collapsed="false">
      <c r="A88" s="9" t="s">
        <v>110</v>
      </c>
      <c r="B88" s="32"/>
      <c r="C88" s="12" t="s">
        <v>67</v>
      </c>
      <c r="E88" s="33" t="n">
        <f aca="false">ABS($E$85)/IF($B$81&lt;0,INDEX(TabMateriali,MATCH($B$80,Materiali,0),6),INDEX(TabMateriali,MATCH($B$80,Materiali,0),7))</f>
        <v>0.248015873015873</v>
      </c>
      <c r="F88" s="34" t="str">
        <f aca="false">IF(B88="","",IF(ABS(B88-E88)&lt;=0.01*ABS(E88),"✓ corretto","✗ ricontrolla"))</f>
        <v/>
      </c>
    </row>
  </sheetData>
  <mergeCells count="30">
    <mergeCell ref="A1:H1"/>
    <mergeCell ref="A2:H2"/>
    <mergeCell ref="A4:H4"/>
    <mergeCell ref="E8:H8"/>
    <mergeCell ref="E9:H9"/>
    <mergeCell ref="E10:H10"/>
    <mergeCell ref="E11:H11"/>
    <mergeCell ref="E12:H12"/>
    <mergeCell ref="E16:H16"/>
    <mergeCell ref="E17:H17"/>
    <mergeCell ref="E18:H18"/>
    <mergeCell ref="E19:H19"/>
    <mergeCell ref="E20:H20"/>
    <mergeCell ref="E21:H21"/>
    <mergeCell ref="E22:H22"/>
    <mergeCell ref="E23:H23"/>
    <mergeCell ref="E24:H24"/>
    <mergeCell ref="B25:C25"/>
    <mergeCell ref="E25:H25"/>
    <mergeCell ref="A28:H28"/>
    <mergeCell ref="A33:H33"/>
    <mergeCell ref="A37:H37"/>
    <mergeCell ref="A38:H38"/>
    <mergeCell ref="A39:H39"/>
    <mergeCell ref="A51:H51"/>
    <mergeCell ref="A52:H52"/>
    <mergeCell ref="A64:H64"/>
    <mergeCell ref="A65:H65"/>
    <mergeCell ref="A77:H77"/>
    <mergeCell ref="A78:H78"/>
  </mergeCells>
  <dataValidations count="1">
    <dataValidation allowBlank="false" error="Scegli un materiale dell’elenco" errorStyle="stop" errorTitle="Materiale non valido" operator="between" showDropDown="false" showErrorMessage="false" showInputMessage="false" sqref="B8" type="list">
      <formula1>Materiali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6"/>
    <col collapsed="false" customWidth="true" hidden="false" outlineLevel="0" max="4" min="3" style="0" width="11"/>
    <col collapsed="false" customWidth="true" hidden="false" outlineLevel="0" max="5" min="5" style="0" width="40"/>
    <col collapsed="false" customWidth="true" hidden="false" outlineLevel="0" max="6" min="6" style="0" width="16"/>
    <col collapsed="false" customWidth="true" hidden="false" outlineLevel="0" max="8" min="7" style="0" width="14"/>
  </cols>
  <sheetData>
    <row r="1" customFormat="false" ht="33.75" hidden="false" customHeight="true" outlineLevel="0" collapsed="false">
      <c r="A1" s="1" t="s">
        <v>120</v>
      </c>
      <c r="B1" s="1"/>
      <c r="C1" s="1"/>
      <c r="D1" s="1"/>
      <c r="E1" s="1"/>
      <c r="F1" s="1"/>
      <c r="G1" s="1"/>
      <c r="H1" s="1"/>
    </row>
    <row r="2" customFormat="false" ht="19.5" hidden="false" customHeight="true" outlineLevel="0" collapsed="false">
      <c r="A2" s="2" t="s">
        <v>121</v>
      </c>
      <c r="B2" s="2"/>
      <c r="C2" s="2"/>
      <c r="D2" s="2"/>
      <c r="E2" s="2"/>
      <c r="F2" s="2"/>
      <c r="G2" s="2"/>
      <c r="H2" s="2"/>
    </row>
    <row r="4" customFormat="false" ht="24" hidden="false" customHeight="true" outlineLevel="0" collapsed="false">
      <c r="A4" s="14" t="str">
        <f aca="false">HYPERLINK("https://vivi.green/come-si-usa-telaio2d/#t2g-modello","📖 Come si inseriscono le forze in campata nell’app: guida, capitolo 2 «Costruire il modello». ›")</f>
        <v>📖 Come si inseriscono le forze in campata nell’app: guida, capitolo 2 «Costruire il modello». ›</v>
      </c>
      <c r="B4" s="14"/>
      <c r="C4" s="14"/>
      <c r="D4" s="14"/>
      <c r="E4" s="14"/>
      <c r="F4" s="14"/>
      <c r="G4" s="14"/>
      <c r="H4" s="14"/>
    </row>
    <row r="6" customFormat="false" ht="21.75" hidden="false" customHeight="true" outlineLevel="0" collapsed="false">
      <c r="A6" s="3" t="s">
        <v>122</v>
      </c>
    </row>
    <row r="7" customFormat="false" ht="19.5" hidden="false" customHeight="true" outlineLevel="0" collapsed="false">
      <c r="A7" s="4" t="s">
        <v>123</v>
      </c>
      <c r="B7" s="4"/>
      <c r="C7" s="4"/>
      <c r="D7" s="4"/>
      <c r="E7" s="4"/>
      <c r="F7" s="4"/>
      <c r="G7" s="4"/>
      <c r="H7" s="4"/>
    </row>
    <row r="8" customFormat="false" ht="30" hidden="false" customHeight="true" outlineLevel="0" collapsed="false">
      <c r="A8" s="11" t="s">
        <v>40</v>
      </c>
      <c r="B8" s="11" t="s">
        <v>41</v>
      </c>
      <c r="C8" s="11" t="s">
        <v>42</v>
      </c>
      <c r="D8" s="11"/>
      <c r="E8" s="11" t="s">
        <v>43</v>
      </c>
    </row>
    <row r="9" customFormat="false" ht="27.75" hidden="false" customHeight="true" outlineLevel="0" collapsed="false">
      <c r="A9" s="9" t="s">
        <v>124</v>
      </c>
      <c r="B9" s="17" t="n">
        <v>6</v>
      </c>
      <c r="C9" s="12" t="s">
        <v>54</v>
      </c>
      <c r="E9" s="16" t="s">
        <v>125</v>
      </c>
      <c r="F9" s="16"/>
      <c r="G9" s="16"/>
      <c r="H9" s="16"/>
    </row>
    <row r="10" customFormat="false" ht="27.75" hidden="false" customHeight="true" outlineLevel="0" collapsed="false">
      <c r="A10" s="9" t="s">
        <v>126</v>
      </c>
      <c r="B10" s="17" t="n">
        <v>2</v>
      </c>
      <c r="C10" s="12" t="s">
        <v>54</v>
      </c>
      <c r="E10" s="16" t="s">
        <v>127</v>
      </c>
      <c r="F10" s="16"/>
      <c r="G10" s="16"/>
      <c r="H10" s="16"/>
    </row>
    <row r="11" customFormat="false" ht="27.75" hidden="false" customHeight="true" outlineLevel="0" collapsed="false">
      <c r="A11" s="9" t="s">
        <v>128</v>
      </c>
      <c r="B11" s="17" t="n">
        <v>20</v>
      </c>
      <c r="C11" s="12" t="s">
        <v>48</v>
      </c>
      <c r="E11" s="16" t="s">
        <v>129</v>
      </c>
      <c r="F11" s="16"/>
      <c r="G11" s="16"/>
      <c r="H11" s="16"/>
    </row>
    <row r="12" customFormat="false" ht="27.75" hidden="false" customHeight="true" outlineLevel="0" collapsed="false">
      <c r="A12" s="9" t="s">
        <v>62</v>
      </c>
      <c r="B12" s="18" t="n">
        <v>31000</v>
      </c>
      <c r="C12" s="12" t="s">
        <v>57</v>
      </c>
      <c r="E12" s="16" t="s">
        <v>130</v>
      </c>
      <c r="F12" s="16"/>
      <c r="G12" s="16"/>
      <c r="H12" s="16"/>
    </row>
    <row r="13" customFormat="false" ht="27.75" hidden="false" customHeight="true" outlineLevel="0" collapsed="false">
      <c r="A13" s="9" t="s">
        <v>131</v>
      </c>
      <c r="B13" s="18" t="n">
        <v>67500</v>
      </c>
      <c r="C13" s="12" t="s">
        <v>132</v>
      </c>
      <c r="E13" s="16" t="s">
        <v>133</v>
      </c>
      <c r="F13" s="16"/>
      <c r="G13" s="16"/>
      <c r="H13" s="16"/>
    </row>
    <row r="15" customFormat="false" ht="30" hidden="false" customHeight="true" outlineLevel="0" collapsed="false">
      <c r="A15" s="11" t="s">
        <v>134</v>
      </c>
      <c r="B15" s="11" t="s">
        <v>60</v>
      </c>
      <c r="C15" s="11" t="s">
        <v>42</v>
      </c>
      <c r="D15" s="11"/>
      <c r="E15" s="11" t="s">
        <v>61</v>
      </c>
    </row>
    <row r="16" customFormat="false" ht="24" hidden="false" customHeight="true" outlineLevel="0" collapsed="false">
      <c r="A16" s="9" t="s">
        <v>135</v>
      </c>
      <c r="B16" s="24" t="n">
        <f aca="false">$B$9-$B$10</f>
        <v>4</v>
      </c>
      <c r="C16" s="12" t="s">
        <v>54</v>
      </c>
      <c r="E16" s="16" t="s">
        <v>136</v>
      </c>
      <c r="F16" s="16"/>
      <c r="G16" s="16"/>
      <c r="H16" s="16"/>
    </row>
    <row r="17" customFormat="false" ht="24" hidden="false" customHeight="true" outlineLevel="0" collapsed="false">
      <c r="A17" s="9" t="s">
        <v>137</v>
      </c>
      <c r="B17" s="20" t="n">
        <f aca="false">$B$11*$B$16/$B$9</f>
        <v>13.3333333333333</v>
      </c>
      <c r="C17" s="12" t="s">
        <v>48</v>
      </c>
      <c r="E17" s="16" t="s">
        <v>138</v>
      </c>
      <c r="F17" s="16"/>
      <c r="G17" s="16"/>
      <c r="H17" s="16"/>
    </row>
    <row r="18" customFormat="false" ht="24" hidden="false" customHeight="true" outlineLevel="0" collapsed="false">
      <c r="A18" s="9" t="s">
        <v>139</v>
      </c>
      <c r="B18" s="20" t="n">
        <f aca="false">$B$11*$B$10/$B$9</f>
        <v>6.66666666666667</v>
      </c>
      <c r="C18" s="12" t="s">
        <v>48</v>
      </c>
      <c r="E18" s="16" t="s">
        <v>140</v>
      </c>
      <c r="F18" s="16"/>
      <c r="G18" s="16"/>
      <c r="H18" s="16"/>
    </row>
    <row r="19" customFormat="false" ht="24" hidden="false" customHeight="true" outlineLevel="0" collapsed="false">
      <c r="A19" s="9" t="s">
        <v>141</v>
      </c>
      <c r="B19" s="20" t="n">
        <f aca="false">$B$11*$B$10*$B$16/$B$9</f>
        <v>26.6666666666667</v>
      </c>
      <c r="C19" s="12" t="s">
        <v>142</v>
      </c>
      <c r="E19" s="16" t="s">
        <v>143</v>
      </c>
      <c r="F19" s="16"/>
      <c r="G19" s="16"/>
      <c r="H19" s="16"/>
    </row>
    <row r="20" customFormat="false" ht="24" hidden="false" customHeight="true" outlineLevel="0" collapsed="false">
      <c r="A20" s="9" t="s">
        <v>144</v>
      </c>
      <c r="B20" s="7" t="str">
        <f aca="false">TEXT($B$17,"0.00")&amp;" / "&amp;TEXT(-$B$18,"0.00")</f>
        <v>13.33 / -6.67</v>
      </c>
      <c r="C20" s="12" t="s">
        <v>48</v>
      </c>
      <c r="E20" s="16" t="s">
        <v>145</v>
      </c>
      <c r="F20" s="16"/>
      <c r="G20" s="16"/>
      <c r="H20" s="16"/>
    </row>
    <row r="21" customFormat="false" ht="24" hidden="false" customHeight="true" outlineLevel="0" collapsed="false">
      <c r="A21" s="9" t="s">
        <v>146</v>
      </c>
      <c r="B21" s="20" t="n">
        <f aca="false">$B$11*$B$10^2*$B$16^2/(3*$B$12*$B$13*$B$9)*100000000</f>
        <v>3.39838045931236</v>
      </c>
      <c r="C21" s="12" t="s">
        <v>74</v>
      </c>
      <c r="E21" s="16" t="s">
        <v>147</v>
      </c>
      <c r="F21" s="16"/>
      <c r="G21" s="16"/>
      <c r="H21" s="16"/>
    </row>
    <row r="23" customFormat="false" ht="30" hidden="false" customHeight="true" outlineLevel="0" collapsed="false">
      <c r="A23" s="11" t="s">
        <v>148</v>
      </c>
      <c r="B23" s="11" t="s">
        <v>60</v>
      </c>
      <c r="C23" s="11" t="s">
        <v>42</v>
      </c>
      <c r="D23" s="11"/>
      <c r="E23" s="11" t="s">
        <v>61</v>
      </c>
    </row>
    <row r="24" customFormat="false" ht="24" hidden="false" customHeight="true" outlineLevel="0" collapsed="false">
      <c r="A24" s="9" t="s">
        <v>149</v>
      </c>
      <c r="B24" s="20" t="n">
        <f aca="false">$B$11*$B$10*$B$16^2/$B$9^2</f>
        <v>17.7777777777778</v>
      </c>
      <c r="C24" s="12" t="s">
        <v>142</v>
      </c>
      <c r="E24" s="16" t="s">
        <v>150</v>
      </c>
      <c r="F24" s="16"/>
      <c r="G24" s="16"/>
      <c r="H24" s="16"/>
    </row>
    <row r="25" customFormat="false" ht="24" hidden="false" customHeight="true" outlineLevel="0" collapsed="false">
      <c r="A25" s="9" t="s">
        <v>151</v>
      </c>
      <c r="B25" s="20" t="n">
        <f aca="false">$B$11*$B$10^2*$B$16/$B$9^2</f>
        <v>8.88888888888889</v>
      </c>
      <c r="C25" s="12" t="s">
        <v>142</v>
      </c>
      <c r="E25" s="16" t="s">
        <v>152</v>
      </c>
      <c r="F25" s="16"/>
      <c r="G25" s="16"/>
      <c r="H25" s="16"/>
    </row>
    <row r="26" customFormat="false" ht="24" hidden="false" customHeight="true" outlineLevel="0" collapsed="false">
      <c r="A26" s="9" t="s">
        <v>153</v>
      </c>
      <c r="B26" s="23" t="n">
        <f aca="false">$B$11*$B$16^2*(3*$B$10+$B$16)/$B$9^3</f>
        <v>14.8148148148148</v>
      </c>
      <c r="C26" s="12" t="s">
        <v>48</v>
      </c>
      <c r="E26" s="16" t="s">
        <v>154</v>
      </c>
      <c r="F26" s="16"/>
      <c r="G26" s="16"/>
      <c r="H26" s="16"/>
    </row>
    <row r="27" customFormat="false" ht="24" hidden="false" customHeight="true" outlineLevel="0" collapsed="false">
      <c r="A27" s="9" t="s">
        <v>155</v>
      </c>
      <c r="B27" s="23" t="n">
        <f aca="false">$B$11*$B$10^2*($B$10+3*$B$16)/$B$9^3</f>
        <v>5.18518518518519</v>
      </c>
      <c r="C27" s="12" t="s">
        <v>48</v>
      </c>
      <c r="E27" s="16" t="s">
        <v>156</v>
      </c>
      <c r="F27" s="16"/>
      <c r="G27" s="16"/>
      <c r="H27" s="16"/>
    </row>
    <row r="29" customFormat="false" ht="21.75" hidden="false" customHeight="true" outlineLevel="0" collapsed="false">
      <c r="A29" s="3" t="s">
        <v>157</v>
      </c>
    </row>
    <row r="30" customFormat="false" ht="30" hidden="false" customHeight="true" outlineLevel="0" collapsed="false">
      <c r="A30" s="4" t="s">
        <v>158</v>
      </c>
      <c r="B30" s="4"/>
      <c r="C30" s="4"/>
      <c r="D30" s="4"/>
      <c r="E30" s="4"/>
      <c r="F30" s="4"/>
      <c r="G30" s="4"/>
      <c r="H30" s="4"/>
    </row>
    <row r="31" customFormat="false" ht="30" hidden="false" customHeight="true" outlineLevel="0" collapsed="false">
      <c r="A31" s="11" t="s">
        <v>40</v>
      </c>
      <c r="B31" s="11" t="s">
        <v>159</v>
      </c>
      <c r="C31" s="11" t="s">
        <v>160</v>
      </c>
      <c r="D31" s="11" t="s">
        <v>161</v>
      </c>
    </row>
    <row r="32" customFormat="false" ht="15" hidden="false" customHeight="false" outlineLevel="0" collapsed="false">
      <c r="A32" s="9" t="s">
        <v>162</v>
      </c>
      <c r="B32" s="27" t="n">
        <v>13.3333</v>
      </c>
      <c r="C32" s="23" t="n">
        <f aca="false">$B$17</f>
        <v>13.3333333333333</v>
      </c>
      <c r="D32" s="23" t="n">
        <f aca="false">C32-B32</f>
        <v>3.33333333344399E-005</v>
      </c>
    </row>
    <row r="33" customFormat="false" ht="15" hidden="false" customHeight="false" outlineLevel="0" collapsed="false">
      <c r="A33" s="9" t="s">
        <v>163</v>
      </c>
      <c r="B33" s="27" t="n">
        <v>6.6667</v>
      </c>
      <c r="C33" s="23" t="n">
        <f aca="false">$B$18</f>
        <v>6.66666666666667</v>
      </c>
      <c r="D33" s="23" t="n">
        <f aca="false">C33-B33</f>
        <v>-3.33333333326635E-005</v>
      </c>
    </row>
    <row r="34" customFormat="false" ht="15" hidden="false" customHeight="false" outlineLevel="0" collapsed="false">
      <c r="A34" s="9" t="s">
        <v>164</v>
      </c>
      <c r="B34" s="27" t="n">
        <v>26.6667</v>
      </c>
      <c r="C34" s="23" t="n">
        <f aca="false">$B$19</f>
        <v>26.6666666666667</v>
      </c>
      <c r="D34" s="23" t="n">
        <f aca="false">C34-B34</f>
        <v>-3.33333333308872E-005</v>
      </c>
    </row>
    <row r="35" customFormat="false" ht="23.85" hidden="false" customHeight="false" outlineLevel="0" collapsed="false">
      <c r="A35" s="9" t="s">
        <v>165</v>
      </c>
      <c r="B35" s="27" t="n">
        <v>3.3984</v>
      </c>
      <c r="C35" s="23" t="n">
        <f aca="false">$B$21</f>
        <v>3.39838045931236</v>
      </c>
      <c r="D35" s="23" t="n">
        <f aca="false">C35-B35</f>
        <v>-1.95406876408732E-005</v>
      </c>
    </row>
    <row r="37" customFormat="false" ht="21.75" hidden="false" customHeight="true" outlineLevel="0" collapsed="false">
      <c r="A37" s="3" t="s">
        <v>166</v>
      </c>
    </row>
    <row r="38" customFormat="false" ht="21.75" hidden="false" customHeight="true" outlineLevel="0" collapsed="false">
      <c r="A38" s="31" t="s">
        <v>167</v>
      </c>
      <c r="B38" s="31"/>
      <c r="C38" s="31"/>
      <c r="D38" s="31"/>
      <c r="E38" s="31"/>
      <c r="F38" s="31"/>
      <c r="G38" s="31"/>
      <c r="H38" s="31"/>
    </row>
    <row r="39" customFormat="false" ht="45.75" hidden="false" customHeight="true" outlineLevel="0" collapsed="false">
      <c r="A39" s="4" t="s">
        <v>168</v>
      </c>
      <c r="B39" s="4"/>
      <c r="C39" s="4"/>
      <c r="D39" s="4"/>
      <c r="E39" s="4"/>
      <c r="F39" s="4"/>
      <c r="G39" s="4"/>
      <c r="H39" s="4"/>
    </row>
    <row r="40" customFormat="false" ht="30" hidden="false" customHeight="true" outlineLevel="0" collapsed="false">
      <c r="A40" s="11" t="s">
        <v>39</v>
      </c>
      <c r="B40" s="11" t="s">
        <v>41</v>
      </c>
      <c r="C40" s="11" t="s">
        <v>42</v>
      </c>
    </row>
    <row r="41" customFormat="false" ht="15" hidden="false" customHeight="false" outlineLevel="0" collapsed="false">
      <c r="A41" s="9" t="s">
        <v>103</v>
      </c>
      <c r="B41" s="28" t="n">
        <v>5</v>
      </c>
      <c r="C41" s="12" t="s">
        <v>54</v>
      </c>
    </row>
    <row r="42" customFormat="false" ht="15" hidden="false" customHeight="false" outlineLevel="0" collapsed="false">
      <c r="A42" s="9" t="s">
        <v>169</v>
      </c>
      <c r="B42" s="28" t="n">
        <v>1.5</v>
      </c>
      <c r="C42" s="12" t="s">
        <v>54</v>
      </c>
    </row>
    <row r="43" customFormat="false" ht="15" hidden="false" customHeight="false" outlineLevel="0" collapsed="false">
      <c r="A43" s="9" t="s">
        <v>170</v>
      </c>
      <c r="B43" s="28" t="n">
        <v>30</v>
      </c>
      <c r="C43" s="12" t="s">
        <v>48</v>
      </c>
    </row>
    <row r="44" customFormat="false" ht="30" hidden="false" customHeight="true" outlineLevel="0" collapsed="false">
      <c r="A44" s="11" t="s">
        <v>40</v>
      </c>
      <c r="B44" s="11" t="s">
        <v>104</v>
      </c>
      <c r="C44" s="11" t="s">
        <v>42</v>
      </c>
      <c r="D44" s="11"/>
      <c r="E44" s="11" t="s">
        <v>105</v>
      </c>
      <c r="F44" s="11" t="s">
        <v>106</v>
      </c>
    </row>
    <row r="45" customFormat="false" ht="15" hidden="false" customHeight="false" outlineLevel="0" collapsed="false">
      <c r="A45" s="9" t="s">
        <v>171</v>
      </c>
      <c r="B45" s="32"/>
      <c r="C45" s="12" t="s">
        <v>48</v>
      </c>
      <c r="E45" s="33" t="n">
        <f aca="false">$B$43*($B$41-$B$42)/$B$41</f>
        <v>21</v>
      </c>
      <c r="F45" s="34" t="str">
        <f aca="false">IF(B45="","",IF(ABS(B45-E45)&lt;=0.01*ABS(E45),"✓ corretto","✗ ricontrolla"))</f>
        <v/>
      </c>
    </row>
    <row r="46" customFormat="false" ht="15" hidden="false" customHeight="false" outlineLevel="0" collapsed="false">
      <c r="A46" s="9" t="s">
        <v>172</v>
      </c>
      <c r="B46" s="32"/>
      <c r="C46" s="12" t="s">
        <v>48</v>
      </c>
      <c r="E46" s="33" t="n">
        <f aca="false">$B$43*$B$42/$B$41</f>
        <v>9</v>
      </c>
      <c r="F46" s="34" t="str">
        <f aca="false">IF(B46="","",IF(ABS(B46-E46)&lt;=0.01*ABS(E46),"✓ corretto","✗ ricontrolla"))</f>
        <v/>
      </c>
    </row>
    <row r="47" customFormat="false" ht="15" hidden="false" customHeight="false" outlineLevel="0" collapsed="false">
      <c r="A47" s="9" t="s">
        <v>173</v>
      </c>
      <c r="B47" s="32"/>
      <c r="C47" s="12" t="s">
        <v>142</v>
      </c>
      <c r="E47" s="33" t="n">
        <f aca="false">$B$43*$B$42*($B$41-$B$42)/$B$41</f>
        <v>31.5</v>
      </c>
      <c r="F47" s="34" t="str">
        <f aca="false">IF(B47="","",IF(ABS(B47-E47)&lt;=0.01*ABS(E47),"✓ corretto","✗ ricontrolla"))</f>
        <v/>
      </c>
    </row>
  </sheetData>
  <mergeCells count="22">
    <mergeCell ref="A1:H1"/>
    <mergeCell ref="A2:H2"/>
    <mergeCell ref="A4:H4"/>
    <mergeCell ref="A7:H7"/>
    <mergeCell ref="E9:H9"/>
    <mergeCell ref="E10:H10"/>
    <mergeCell ref="E11:H11"/>
    <mergeCell ref="E12:H12"/>
    <mergeCell ref="E13:H13"/>
    <mergeCell ref="E16:H16"/>
    <mergeCell ref="E17:H17"/>
    <mergeCell ref="E18:H18"/>
    <mergeCell ref="E19:H19"/>
    <mergeCell ref="E20:H20"/>
    <mergeCell ref="E21:H21"/>
    <mergeCell ref="E24:H24"/>
    <mergeCell ref="E25:H25"/>
    <mergeCell ref="E26:H26"/>
    <mergeCell ref="E27:H27"/>
    <mergeCell ref="A30:H30"/>
    <mergeCell ref="A38:H38"/>
    <mergeCell ref="A39:H3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6"/>
    <col collapsed="false" customWidth="true" hidden="false" outlineLevel="0" max="4" min="3" style="0" width="11"/>
    <col collapsed="false" customWidth="true" hidden="false" outlineLevel="0" max="5" min="5" style="0" width="40"/>
    <col collapsed="false" customWidth="true" hidden="false" outlineLevel="0" max="6" min="6" style="0" width="16"/>
    <col collapsed="false" customWidth="true" hidden="false" outlineLevel="0" max="8" min="7" style="0" width="14"/>
  </cols>
  <sheetData>
    <row r="1" customFormat="false" ht="33.75" hidden="false" customHeight="true" outlineLevel="0" collapsed="false">
      <c r="A1" s="1" t="s">
        <v>174</v>
      </c>
      <c r="B1" s="1"/>
      <c r="C1" s="1"/>
      <c r="D1" s="1"/>
      <c r="E1" s="1"/>
      <c r="F1" s="1"/>
      <c r="G1" s="1"/>
      <c r="H1" s="1"/>
    </row>
    <row r="2" customFormat="false" ht="19.5" hidden="false" customHeight="true" outlineLevel="0" collapsed="false">
      <c r="A2" s="2" t="s">
        <v>175</v>
      </c>
      <c r="B2" s="2"/>
      <c r="C2" s="2"/>
      <c r="D2" s="2"/>
      <c r="E2" s="2"/>
      <c r="F2" s="2"/>
      <c r="G2" s="2"/>
      <c r="H2" s="2"/>
    </row>
    <row r="4" customFormat="false" ht="21.75" hidden="false" customHeight="true" outlineLevel="0" collapsed="false">
      <c r="A4" s="3" t="s">
        <v>176</v>
      </c>
    </row>
    <row r="5" customFormat="false" ht="61.5" hidden="false" customHeight="true" outlineLevel="0" collapsed="false">
      <c r="A5" s="4" t="s">
        <v>177</v>
      </c>
      <c r="B5" s="4"/>
      <c r="C5" s="4"/>
      <c r="D5" s="4"/>
      <c r="E5" s="4"/>
      <c r="F5" s="4"/>
      <c r="G5" s="4"/>
      <c r="H5" s="4"/>
    </row>
    <row r="6" customFormat="false" ht="30" hidden="false" customHeight="true" outlineLevel="0" collapsed="false">
      <c r="A6" s="11" t="s">
        <v>178</v>
      </c>
      <c r="B6" s="11" t="s">
        <v>179</v>
      </c>
      <c r="C6" s="11" t="s">
        <v>180</v>
      </c>
    </row>
    <row r="7" customFormat="false" ht="15" hidden="false" customHeight="false" outlineLevel="0" collapsed="false">
      <c r="A7" s="9" t="s">
        <v>181</v>
      </c>
      <c r="B7" s="37" t="n">
        <v>1</v>
      </c>
      <c r="C7" s="12" t="s">
        <v>103</v>
      </c>
    </row>
    <row r="8" customFormat="false" ht="15" hidden="false" customHeight="false" outlineLevel="0" collapsed="false">
      <c r="A8" s="9" t="s">
        <v>182</v>
      </c>
      <c r="B8" s="37" t="n">
        <v>0.7</v>
      </c>
      <c r="C8" s="12" t="s">
        <v>183</v>
      </c>
    </row>
    <row r="9" customFormat="false" ht="15" hidden="false" customHeight="false" outlineLevel="0" collapsed="false">
      <c r="A9" s="9" t="s">
        <v>184</v>
      </c>
      <c r="B9" s="37" t="n">
        <v>0.5</v>
      </c>
      <c r="C9" s="12" t="s">
        <v>185</v>
      </c>
    </row>
    <row r="10" customFormat="false" ht="15" hidden="false" customHeight="false" outlineLevel="0" collapsed="false">
      <c r="A10" s="9" t="s">
        <v>186</v>
      </c>
      <c r="B10" s="37" t="n">
        <v>2</v>
      </c>
      <c r="C10" s="12" t="s">
        <v>187</v>
      </c>
    </row>
    <row r="12" customFormat="false" ht="24" hidden="false" customHeight="true" outlineLevel="0" collapsed="false">
      <c r="A12" s="14" t="str">
        <f aca="false">HYPERLINK("https://vivi.green/come-si-usa-telaio2d/#t2g-tensioni","📖 Come si usa la verifica nell’app (β, I_min, curva d’instabilità): guida, capitolo 4. ›")</f>
        <v>📖 Come si usa la verifica nell’app (β, I_min, curva d’instabilità): guida, capitolo 4. ›</v>
      </c>
      <c r="B12" s="14"/>
      <c r="C12" s="14"/>
      <c r="D12" s="14"/>
      <c r="E12" s="14"/>
      <c r="F12" s="14"/>
      <c r="G12" s="14"/>
      <c r="H12" s="14"/>
    </row>
    <row r="14" customFormat="false" ht="21.75" hidden="false" customHeight="true" outlineLevel="0" collapsed="false">
      <c r="A14" s="3" t="s">
        <v>188</v>
      </c>
    </row>
    <row r="15" customFormat="false" ht="19.5" hidden="false" customHeight="true" outlineLevel="0" collapsed="false">
      <c r="A15" s="4" t="s">
        <v>189</v>
      </c>
      <c r="B15" s="4"/>
      <c r="C15" s="4"/>
      <c r="D15" s="4"/>
      <c r="E15" s="4"/>
      <c r="F15" s="4"/>
      <c r="G15" s="4"/>
      <c r="H15" s="4"/>
    </row>
    <row r="16" customFormat="false" ht="30" hidden="false" customHeight="true" outlineLevel="0" collapsed="false">
      <c r="A16" s="11" t="s">
        <v>40</v>
      </c>
      <c r="B16" s="11" t="s">
        <v>41</v>
      </c>
      <c r="C16" s="11" t="s">
        <v>42</v>
      </c>
      <c r="D16" s="11"/>
      <c r="E16" s="11" t="s">
        <v>43</v>
      </c>
    </row>
    <row r="17" customFormat="false" ht="27.75" hidden="false" customHeight="true" outlineLevel="0" collapsed="false">
      <c r="A17" s="9" t="s">
        <v>50</v>
      </c>
      <c r="B17" s="17" t="n">
        <v>78.1</v>
      </c>
      <c r="C17" s="12" t="s">
        <v>51</v>
      </c>
      <c r="E17" s="16" t="s">
        <v>190</v>
      </c>
      <c r="F17" s="16"/>
      <c r="G17" s="16"/>
      <c r="H17" s="16"/>
    </row>
    <row r="18" customFormat="false" ht="27.75" hidden="false" customHeight="true" outlineLevel="0" collapsed="false">
      <c r="A18" s="9" t="s">
        <v>191</v>
      </c>
      <c r="B18" s="38" t="n">
        <v>2003.4</v>
      </c>
      <c r="C18" s="12" t="s">
        <v>132</v>
      </c>
      <c r="E18" s="16" t="s">
        <v>192</v>
      </c>
      <c r="F18" s="16"/>
      <c r="G18" s="16"/>
      <c r="H18" s="16"/>
    </row>
    <row r="19" customFormat="false" ht="27.75" hidden="false" customHeight="true" outlineLevel="0" collapsed="false">
      <c r="A19" s="9" t="s">
        <v>53</v>
      </c>
      <c r="B19" s="17" t="n">
        <v>4</v>
      </c>
      <c r="C19" s="12" t="s">
        <v>54</v>
      </c>
      <c r="E19" s="16" t="s">
        <v>55</v>
      </c>
      <c r="F19" s="16"/>
      <c r="G19" s="16"/>
      <c r="H19" s="16"/>
    </row>
    <row r="20" customFormat="false" ht="27.75" hidden="false" customHeight="true" outlineLevel="0" collapsed="false">
      <c r="A20" s="9" t="s">
        <v>193</v>
      </c>
      <c r="B20" s="39" t="n">
        <v>1</v>
      </c>
      <c r="C20" s="12" t="s">
        <v>67</v>
      </c>
      <c r="E20" s="16" t="s">
        <v>194</v>
      </c>
      <c r="F20" s="16"/>
      <c r="G20" s="16"/>
      <c r="H20" s="16"/>
    </row>
    <row r="21" customFormat="false" ht="27.75" hidden="false" customHeight="true" outlineLevel="0" collapsed="false">
      <c r="A21" s="9" t="s">
        <v>195</v>
      </c>
      <c r="B21" s="17" t="n">
        <v>500</v>
      </c>
      <c r="C21" s="12" t="s">
        <v>48</v>
      </c>
      <c r="E21" s="16" t="s">
        <v>196</v>
      </c>
      <c r="F21" s="16"/>
      <c r="G21" s="16"/>
      <c r="H21" s="16"/>
    </row>
    <row r="22" customFormat="false" ht="27.75" hidden="false" customHeight="true" outlineLevel="0" collapsed="false">
      <c r="A22" s="9" t="s">
        <v>197</v>
      </c>
      <c r="B22" s="40" t="n">
        <v>275</v>
      </c>
      <c r="C22" s="12" t="s">
        <v>57</v>
      </c>
      <c r="E22" s="16" t="s">
        <v>198</v>
      </c>
      <c r="F22" s="16"/>
      <c r="G22" s="16"/>
      <c r="H22" s="16"/>
    </row>
    <row r="23" customFormat="false" ht="27.75" hidden="false" customHeight="true" outlineLevel="0" collapsed="false">
      <c r="A23" s="9" t="s">
        <v>199</v>
      </c>
      <c r="B23" s="18" t="n">
        <v>210000</v>
      </c>
      <c r="C23" s="12" t="s">
        <v>57</v>
      </c>
      <c r="E23" s="16" t="s">
        <v>200</v>
      </c>
      <c r="F23" s="16"/>
      <c r="G23" s="16"/>
      <c r="H23" s="16"/>
    </row>
    <row r="24" customFormat="false" ht="27.75" hidden="false" customHeight="true" outlineLevel="0" collapsed="false">
      <c r="A24" s="9" t="s">
        <v>201</v>
      </c>
      <c r="B24" s="15" t="s">
        <v>202</v>
      </c>
      <c r="C24" s="12" t="s">
        <v>67</v>
      </c>
      <c r="E24" s="16" t="s">
        <v>203</v>
      </c>
      <c r="F24" s="16"/>
      <c r="G24" s="16"/>
      <c r="H24" s="16"/>
    </row>
    <row r="25" customFormat="false" ht="27.75" hidden="false" customHeight="true" outlineLevel="0" collapsed="false">
      <c r="A25" s="9" t="s">
        <v>204</v>
      </c>
      <c r="B25" s="17" t="n">
        <v>1.05</v>
      </c>
      <c r="C25" s="12" t="s">
        <v>67</v>
      </c>
      <c r="E25" s="16" t="s">
        <v>205</v>
      </c>
      <c r="F25" s="16"/>
      <c r="G25" s="16"/>
      <c r="H25" s="16"/>
    </row>
    <row r="27" customFormat="false" ht="30" hidden="false" customHeight="true" outlineLevel="0" collapsed="false">
      <c r="A27" s="11" t="s">
        <v>40</v>
      </c>
      <c r="B27" s="11" t="s">
        <v>60</v>
      </c>
      <c r="C27" s="11" t="s">
        <v>42</v>
      </c>
      <c r="D27" s="11"/>
      <c r="E27" s="11" t="s">
        <v>61</v>
      </c>
    </row>
    <row r="28" customFormat="false" ht="24" hidden="false" customHeight="true" outlineLevel="0" collapsed="false">
      <c r="A28" s="9" t="s">
        <v>206</v>
      </c>
      <c r="B28" s="33" t="n">
        <f aca="false">$B$20*$B$19</f>
        <v>4</v>
      </c>
      <c r="C28" s="12" t="s">
        <v>54</v>
      </c>
      <c r="E28" s="16" t="s">
        <v>207</v>
      </c>
      <c r="F28" s="16"/>
      <c r="G28" s="16"/>
      <c r="H28" s="16"/>
    </row>
    <row r="29" customFormat="false" ht="24" hidden="false" customHeight="true" outlineLevel="0" collapsed="false">
      <c r="A29" s="9" t="s">
        <v>208</v>
      </c>
      <c r="B29" s="33" t="n">
        <f aca="false">SQRT($B$18/$B$17)</f>
        <v>5.06475355305044</v>
      </c>
      <c r="C29" s="12" t="s">
        <v>209</v>
      </c>
      <c r="E29" s="16" t="s">
        <v>210</v>
      </c>
      <c r="F29" s="16"/>
      <c r="G29" s="16"/>
      <c r="H29" s="16"/>
    </row>
    <row r="30" customFormat="false" ht="24" hidden="false" customHeight="true" outlineLevel="0" collapsed="false">
      <c r="A30" s="9" t="s">
        <v>211</v>
      </c>
      <c r="B30" s="41" t="n">
        <f aca="false">$B$28*100/$B$29</f>
        <v>78.9771892768771</v>
      </c>
      <c r="C30" s="12" t="s">
        <v>67</v>
      </c>
      <c r="E30" s="16" t="s">
        <v>212</v>
      </c>
      <c r="F30" s="16"/>
      <c r="G30" s="16"/>
      <c r="H30" s="16"/>
    </row>
    <row r="31" customFormat="false" ht="24" hidden="false" customHeight="true" outlineLevel="0" collapsed="false">
      <c r="A31" s="9" t="s">
        <v>213</v>
      </c>
      <c r="B31" s="41" t="n">
        <f aca="false">PI()^2*$B$23*$B$18/($B$28^2*100000)</f>
        <v>2595.17546624994</v>
      </c>
      <c r="C31" s="12" t="s">
        <v>48</v>
      </c>
      <c r="E31" s="16" t="s">
        <v>214</v>
      </c>
      <c r="F31" s="16"/>
      <c r="G31" s="16"/>
      <c r="H31" s="16"/>
    </row>
    <row r="32" customFormat="false" ht="24" hidden="false" customHeight="true" outlineLevel="0" collapsed="false">
      <c r="A32" s="9" t="s">
        <v>215</v>
      </c>
      <c r="B32" s="23" t="n">
        <f aca="false">SQRT($B$17*$B$22/10/$B$31)</f>
        <v>0.909721587191667</v>
      </c>
      <c r="C32" s="12" t="s">
        <v>67</v>
      </c>
      <c r="E32" s="16" t="s">
        <v>216</v>
      </c>
      <c r="F32" s="16"/>
      <c r="G32" s="16"/>
      <c r="H32" s="16"/>
    </row>
    <row r="33" customFormat="false" ht="24" hidden="false" customHeight="true" outlineLevel="0" collapsed="false">
      <c r="A33" s="9" t="s">
        <v>217</v>
      </c>
      <c r="B33" s="24" t="n">
        <f aca="false">INDEX({0.13,0.21,0.34,0.49,0.76},MATCH($B$24,{"a0","a","b","c","d"},0))</f>
        <v>0.49</v>
      </c>
      <c r="C33" s="12" t="s">
        <v>67</v>
      </c>
      <c r="E33" s="16" t="s">
        <v>218</v>
      </c>
      <c r="F33" s="16"/>
      <c r="G33" s="16"/>
      <c r="H33" s="16"/>
    </row>
    <row r="34" customFormat="false" ht="24" hidden="false" customHeight="true" outlineLevel="0" collapsed="false">
      <c r="A34" s="9" t="s">
        <v>219</v>
      </c>
      <c r="B34" s="23" t="n">
        <f aca="false">0.5*(1+$B$33*($B$32-0.2)+$B$32^2)</f>
        <v>1.08767847196322</v>
      </c>
      <c r="C34" s="12" t="s">
        <v>67</v>
      </c>
      <c r="E34" s="16" t="s">
        <v>220</v>
      </c>
      <c r="F34" s="16"/>
      <c r="G34" s="16"/>
      <c r="H34" s="16"/>
    </row>
    <row r="35" customFormat="false" ht="24" hidden="false" customHeight="true" outlineLevel="0" collapsed="false">
      <c r="A35" s="9" t="s">
        <v>221</v>
      </c>
      <c r="B35" s="20" t="n">
        <f aca="false">MIN(1,1/($B$34+SQRT($B$34^2-$B$32^2)))</f>
        <v>0.593868075411621</v>
      </c>
      <c r="C35" s="12" t="s">
        <v>67</v>
      </c>
      <c r="E35" s="16" t="s">
        <v>222</v>
      </c>
      <c r="F35" s="16"/>
      <c r="G35" s="16"/>
      <c r="H35" s="16"/>
    </row>
    <row r="36" customFormat="false" ht="24" hidden="false" customHeight="true" outlineLevel="0" collapsed="false">
      <c r="A36" s="9" t="s">
        <v>223</v>
      </c>
      <c r="B36" s="41" t="n">
        <f aca="false">$B$35*$B$17*$B$22/10/$B$25</f>
        <v>1214.74300853839</v>
      </c>
      <c r="C36" s="12" t="s">
        <v>48</v>
      </c>
      <c r="E36" s="16" t="s">
        <v>224</v>
      </c>
      <c r="F36" s="16"/>
      <c r="G36" s="16"/>
      <c r="H36" s="16"/>
    </row>
    <row r="37" customFormat="false" ht="24" hidden="false" customHeight="true" outlineLevel="0" collapsed="false">
      <c r="A37" s="9" t="s">
        <v>225</v>
      </c>
      <c r="B37" s="25" t="n">
        <f aca="false">$B$21/$B$36</f>
        <v>0.411609695619169</v>
      </c>
      <c r="C37" s="12" t="s">
        <v>67</v>
      </c>
      <c r="E37" s="16" t="s">
        <v>81</v>
      </c>
      <c r="F37" s="16"/>
      <c r="G37" s="16"/>
      <c r="H37" s="16"/>
    </row>
    <row r="38" customFormat="false" ht="24" hidden="false" customHeight="true" outlineLevel="0" collapsed="false">
      <c r="A38" s="9" t="s">
        <v>226</v>
      </c>
      <c r="B38" s="7" t="str">
        <f aca="false">IF($B$37&lt;=1,"VERIFICATA","NON VERIFICATA")&amp;IF($B$30&gt;200," · λ &gt; 200","")</f>
        <v>VERIFICATA</v>
      </c>
      <c r="C38" s="12"/>
      <c r="E38" s="16" t="s">
        <v>227</v>
      </c>
      <c r="F38" s="16"/>
      <c r="G38" s="16"/>
      <c r="H38" s="16"/>
    </row>
    <row r="40" customFormat="false" ht="18" hidden="false" customHeight="true" outlineLevel="0" collapsed="false">
      <c r="A40" s="4" t="s">
        <v>228</v>
      </c>
      <c r="B40" s="4"/>
      <c r="C40" s="4"/>
      <c r="D40" s="4"/>
      <c r="E40" s="4"/>
      <c r="F40" s="4"/>
      <c r="G40" s="4"/>
      <c r="H40" s="4"/>
    </row>
    <row r="41" customFormat="false" ht="30" hidden="false" customHeight="true" outlineLevel="0" collapsed="false">
      <c r="A41" s="11" t="s">
        <v>40</v>
      </c>
      <c r="B41" s="11" t="s">
        <v>159</v>
      </c>
      <c r="C41" s="11" t="s">
        <v>160</v>
      </c>
      <c r="D41" s="11" t="s">
        <v>161</v>
      </c>
    </row>
    <row r="42" customFormat="false" ht="15" hidden="false" customHeight="false" outlineLevel="0" collapsed="false">
      <c r="A42" s="9" t="s">
        <v>229</v>
      </c>
      <c r="B42" s="28" t="n">
        <v>78.98</v>
      </c>
      <c r="C42" s="24" t="n">
        <f aca="false">$B$30</f>
        <v>78.9771892768771</v>
      </c>
      <c r="D42" s="24" t="n">
        <f aca="false">C42-B42</f>
        <v>-0.00281072312290576</v>
      </c>
    </row>
    <row r="43" customFormat="false" ht="15" hidden="false" customHeight="false" outlineLevel="0" collapsed="false">
      <c r="A43" s="9" t="s">
        <v>230</v>
      </c>
      <c r="B43" s="28" t="n">
        <v>2595.18</v>
      </c>
      <c r="C43" s="24" t="n">
        <f aca="false">$B$31</f>
        <v>2595.17546624994</v>
      </c>
      <c r="D43" s="24" t="n">
        <f aca="false">C43-B43</f>
        <v>-0.00453375005736234</v>
      </c>
    </row>
    <row r="44" customFormat="false" ht="15" hidden="false" customHeight="false" outlineLevel="0" collapsed="false">
      <c r="A44" s="9" t="s">
        <v>231</v>
      </c>
      <c r="B44" s="27" t="n">
        <v>0.5939</v>
      </c>
      <c r="C44" s="23" t="n">
        <f aca="false">$B$35</f>
        <v>0.593868075411621</v>
      </c>
      <c r="D44" s="23" t="n">
        <f aca="false">C44-B44</f>
        <v>-3.19245883787511E-005</v>
      </c>
    </row>
    <row r="45" customFormat="false" ht="15" hidden="false" customHeight="false" outlineLevel="0" collapsed="false">
      <c r="A45" s="9" t="s">
        <v>232</v>
      </c>
      <c r="B45" s="28" t="n">
        <v>1214.74</v>
      </c>
      <c r="C45" s="24" t="n">
        <f aca="false">$B$36</f>
        <v>1214.74300853839</v>
      </c>
      <c r="D45" s="24" t="n">
        <f aca="false">C45-B45</f>
        <v>0.00300853838984949</v>
      </c>
    </row>
    <row r="46" customFormat="false" ht="15" hidden="false" customHeight="false" outlineLevel="0" collapsed="false">
      <c r="A46" s="9" t="s">
        <v>233</v>
      </c>
      <c r="B46" s="42" t="n">
        <v>0.412</v>
      </c>
      <c r="C46" s="33" t="n">
        <f aca="false">$B$37</f>
        <v>0.411609695619169</v>
      </c>
      <c r="D46" s="33" t="n">
        <f aca="false">C46-B46</f>
        <v>-0.000390304380831208</v>
      </c>
    </row>
    <row r="48" customFormat="false" ht="21.75" hidden="false" customHeight="true" outlineLevel="0" collapsed="false">
      <c r="A48" s="3" t="s">
        <v>234</v>
      </c>
    </row>
    <row r="49" customFormat="false" ht="30" hidden="false" customHeight="true" outlineLevel="0" collapsed="false">
      <c r="A49" s="11" t="s">
        <v>40</v>
      </c>
      <c r="B49" s="11" t="s">
        <v>41</v>
      </c>
      <c r="C49" s="11" t="s">
        <v>42</v>
      </c>
      <c r="D49" s="11"/>
      <c r="E49" s="11" t="s">
        <v>43</v>
      </c>
    </row>
    <row r="50" customFormat="false" ht="27.75" hidden="false" customHeight="true" outlineLevel="0" collapsed="false">
      <c r="A50" s="9" t="s">
        <v>235</v>
      </c>
      <c r="B50" s="39" t="n">
        <v>12</v>
      </c>
      <c r="C50" s="12" t="s">
        <v>209</v>
      </c>
      <c r="E50" s="16" t="s">
        <v>236</v>
      </c>
      <c r="F50" s="16"/>
      <c r="G50" s="16"/>
      <c r="H50" s="16"/>
    </row>
    <row r="51" customFormat="false" ht="27.75" hidden="false" customHeight="true" outlineLevel="0" collapsed="false">
      <c r="A51" s="9" t="s">
        <v>237</v>
      </c>
      <c r="B51" s="39" t="n">
        <v>12</v>
      </c>
      <c r="C51" s="12" t="s">
        <v>209</v>
      </c>
      <c r="E51" s="16"/>
      <c r="F51" s="16"/>
      <c r="G51" s="16"/>
      <c r="H51" s="16"/>
    </row>
    <row r="52" customFormat="false" ht="27.75" hidden="false" customHeight="true" outlineLevel="0" collapsed="false">
      <c r="A52" s="9" t="s">
        <v>53</v>
      </c>
      <c r="B52" s="17" t="n">
        <v>3</v>
      </c>
      <c r="C52" s="12" t="s">
        <v>54</v>
      </c>
      <c r="E52" s="16"/>
      <c r="F52" s="16"/>
      <c r="G52" s="16"/>
      <c r="H52" s="16"/>
    </row>
    <row r="53" customFormat="false" ht="27.75" hidden="false" customHeight="true" outlineLevel="0" collapsed="false">
      <c r="A53" s="9" t="s">
        <v>193</v>
      </c>
      <c r="B53" s="39" t="n">
        <v>1</v>
      </c>
      <c r="C53" s="12" t="s">
        <v>67</v>
      </c>
      <c r="E53" s="16" t="s">
        <v>238</v>
      </c>
      <c r="F53" s="16"/>
      <c r="G53" s="16"/>
      <c r="H53" s="16"/>
    </row>
    <row r="54" customFormat="false" ht="27.75" hidden="false" customHeight="true" outlineLevel="0" collapsed="false">
      <c r="A54" s="9" t="s">
        <v>195</v>
      </c>
      <c r="B54" s="17" t="n">
        <v>50</v>
      </c>
      <c r="C54" s="12" t="s">
        <v>48</v>
      </c>
      <c r="E54" s="16"/>
      <c r="F54" s="16"/>
      <c r="G54" s="16"/>
      <c r="H54" s="16"/>
    </row>
    <row r="55" customFormat="false" ht="27.75" hidden="false" customHeight="true" outlineLevel="0" collapsed="false">
      <c r="A55" s="9" t="s">
        <v>239</v>
      </c>
      <c r="B55" s="39" t="n">
        <v>21</v>
      </c>
      <c r="C55" s="12" t="s">
        <v>57</v>
      </c>
      <c r="E55" s="16" t="s">
        <v>240</v>
      </c>
      <c r="F55" s="16"/>
      <c r="G55" s="16"/>
      <c r="H55" s="16"/>
    </row>
    <row r="56" customFormat="false" ht="27.75" hidden="false" customHeight="true" outlineLevel="0" collapsed="false">
      <c r="A56" s="9" t="s">
        <v>241</v>
      </c>
      <c r="B56" s="18" t="n">
        <v>7400</v>
      </c>
      <c r="C56" s="12" t="s">
        <v>57</v>
      </c>
      <c r="E56" s="16" t="s">
        <v>242</v>
      </c>
      <c r="F56" s="16"/>
      <c r="G56" s="16"/>
      <c r="H56" s="16"/>
    </row>
    <row r="57" customFormat="false" ht="27.75" hidden="false" customHeight="true" outlineLevel="0" collapsed="false">
      <c r="A57" s="9" t="s">
        <v>243</v>
      </c>
      <c r="B57" s="17" t="n">
        <v>0.8</v>
      </c>
      <c r="C57" s="12" t="s">
        <v>67</v>
      </c>
      <c r="E57" s="16" t="s">
        <v>244</v>
      </c>
      <c r="F57" s="16"/>
      <c r="G57" s="16"/>
      <c r="H57" s="16"/>
    </row>
    <row r="58" customFormat="false" ht="27.75" hidden="false" customHeight="true" outlineLevel="0" collapsed="false">
      <c r="A58" s="9" t="s">
        <v>245</v>
      </c>
      <c r="B58" s="17" t="n">
        <v>1.5</v>
      </c>
      <c r="C58" s="12" t="s">
        <v>67</v>
      </c>
      <c r="E58" s="16" t="s">
        <v>246</v>
      </c>
      <c r="F58" s="16"/>
      <c r="G58" s="16"/>
      <c r="H58" s="16"/>
    </row>
    <row r="59" customFormat="false" ht="27.75" hidden="false" customHeight="true" outlineLevel="0" collapsed="false">
      <c r="A59" s="9" t="s">
        <v>247</v>
      </c>
      <c r="B59" s="39" t="n">
        <v>0.2</v>
      </c>
      <c r="C59" s="12" t="s">
        <v>67</v>
      </c>
      <c r="E59" s="16" t="s">
        <v>248</v>
      </c>
      <c r="F59" s="16"/>
      <c r="G59" s="16"/>
      <c r="H59" s="16"/>
    </row>
    <row r="61" customFormat="false" ht="30" hidden="false" customHeight="true" outlineLevel="0" collapsed="false">
      <c r="A61" s="11" t="s">
        <v>40</v>
      </c>
      <c r="B61" s="11" t="s">
        <v>60</v>
      </c>
      <c r="C61" s="11" t="s">
        <v>42</v>
      </c>
      <c r="D61" s="11"/>
      <c r="E61" s="11" t="s">
        <v>61</v>
      </c>
    </row>
    <row r="62" customFormat="false" ht="24" hidden="false" customHeight="true" outlineLevel="0" collapsed="false">
      <c r="A62" s="9" t="s">
        <v>50</v>
      </c>
      <c r="B62" s="24" t="n">
        <f aca="false">$B$50*$B$51</f>
        <v>144</v>
      </c>
      <c r="C62" s="12" t="s">
        <v>51</v>
      </c>
      <c r="E62" s="16" t="s">
        <v>249</v>
      </c>
      <c r="F62" s="16"/>
      <c r="G62" s="16"/>
      <c r="H62" s="16"/>
    </row>
    <row r="63" customFormat="false" ht="24" hidden="false" customHeight="true" outlineLevel="0" collapsed="false">
      <c r="A63" s="9" t="s">
        <v>250</v>
      </c>
      <c r="B63" s="43" t="n">
        <f aca="false">MIN($B$50*$B$51^3,$B$51*$B$50^3)/12</f>
        <v>1728</v>
      </c>
      <c r="C63" s="12" t="s">
        <v>132</v>
      </c>
      <c r="E63" s="16" t="s">
        <v>251</v>
      </c>
      <c r="F63" s="16"/>
      <c r="G63" s="16"/>
      <c r="H63" s="16"/>
    </row>
    <row r="64" customFormat="false" ht="24" hidden="false" customHeight="true" outlineLevel="0" collapsed="false">
      <c r="A64" s="9" t="s">
        <v>252</v>
      </c>
      <c r="B64" s="33" t="n">
        <f aca="false">SQRT($B$63/$B$62)</f>
        <v>3.46410161513775</v>
      </c>
      <c r="C64" s="12" t="s">
        <v>209</v>
      </c>
      <c r="E64" s="16" t="s">
        <v>253</v>
      </c>
      <c r="F64" s="16"/>
      <c r="G64" s="16"/>
      <c r="H64" s="16"/>
    </row>
    <row r="65" customFormat="false" ht="24" hidden="false" customHeight="true" outlineLevel="0" collapsed="false">
      <c r="A65" s="9" t="s">
        <v>211</v>
      </c>
      <c r="B65" s="41" t="n">
        <f aca="false">$B$53*$B$52*100/$B$64</f>
        <v>86.6025403784439</v>
      </c>
      <c r="C65" s="12" t="s">
        <v>67</v>
      </c>
      <c r="E65" s="16" t="s">
        <v>254</v>
      </c>
      <c r="F65" s="16"/>
      <c r="G65" s="16"/>
      <c r="H65" s="16"/>
    </row>
    <row r="66" customFormat="false" ht="24" hidden="false" customHeight="true" outlineLevel="0" collapsed="false">
      <c r="A66" s="9" t="s">
        <v>255</v>
      </c>
      <c r="B66" s="23" t="n">
        <f aca="false">$B$65/PI()*SQRT($B$55/$B$56)</f>
        <v>1.46850201408121</v>
      </c>
      <c r="C66" s="12" t="s">
        <v>67</v>
      </c>
      <c r="E66" s="16" t="s">
        <v>256</v>
      </c>
      <c r="F66" s="16"/>
      <c r="G66" s="16"/>
      <c r="H66" s="16"/>
    </row>
    <row r="67" customFormat="false" ht="24" hidden="false" customHeight="true" outlineLevel="0" collapsed="false">
      <c r="A67" s="9" t="s">
        <v>257</v>
      </c>
      <c r="B67" s="23" t="n">
        <f aca="false">0.5*(1+$B$59*($B$66-0.3)+$B$66^2)</f>
        <v>1.69509928408841</v>
      </c>
      <c r="C67" s="12" t="s">
        <v>67</v>
      </c>
      <c r="E67" s="16" t="s">
        <v>258</v>
      </c>
      <c r="F67" s="16"/>
      <c r="G67" s="16"/>
      <c r="H67" s="16"/>
    </row>
    <row r="68" customFormat="false" ht="24" hidden="false" customHeight="true" outlineLevel="0" collapsed="false">
      <c r="A68" s="9" t="s">
        <v>259</v>
      </c>
      <c r="B68" s="20" t="n">
        <f aca="false">IF($B$66&lt;=0.3,1,MIN(1,1/($B$67+SQRT($B$67^2-$B$66^2))))</f>
        <v>0.393425520378457</v>
      </c>
      <c r="C68" s="12" t="s">
        <v>67</v>
      </c>
      <c r="E68" s="16" t="s">
        <v>260</v>
      </c>
      <c r="F68" s="16"/>
      <c r="G68" s="16"/>
      <c r="H68" s="16"/>
    </row>
    <row r="69" customFormat="false" ht="24" hidden="false" customHeight="true" outlineLevel="0" collapsed="false">
      <c r="A69" s="9" t="s">
        <v>261</v>
      </c>
      <c r="B69" s="23" t="n">
        <f aca="false">$B$54*10/$B$62</f>
        <v>3.47222222222222</v>
      </c>
      <c r="C69" s="12" t="s">
        <v>57</v>
      </c>
      <c r="E69" s="16" t="s">
        <v>262</v>
      </c>
      <c r="F69" s="16"/>
      <c r="G69" s="16"/>
      <c r="H69" s="16"/>
    </row>
    <row r="70" customFormat="false" ht="24" hidden="false" customHeight="true" outlineLevel="0" collapsed="false">
      <c r="A70" s="9" t="s">
        <v>263</v>
      </c>
      <c r="B70" s="24" t="n">
        <f aca="false">$B$57*$B$55/$B$58</f>
        <v>11.2</v>
      </c>
      <c r="C70" s="12" t="s">
        <v>57</v>
      </c>
      <c r="E70" s="16" t="s">
        <v>264</v>
      </c>
      <c r="F70" s="16"/>
      <c r="G70" s="16"/>
      <c r="H70" s="16"/>
    </row>
    <row r="71" customFormat="false" ht="24" hidden="false" customHeight="true" outlineLevel="0" collapsed="false">
      <c r="A71" s="9" t="s">
        <v>265</v>
      </c>
      <c r="B71" s="25" t="n">
        <f aca="false">$B$69/($B$68*$B$70)</f>
        <v>0.788001350221553</v>
      </c>
      <c r="C71" s="12" t="s">
        <v>67</v>
      </c>
      <c r="E71" s="16" t="s">
        <v>81</v>
      </c>
      <c r="F71" s="16"/>
      <c r="G71" s="16"/>
      <c r="H71" s="16"/>
    </row>
    <row r="72" customFormat="false" ht="24" hidden="false" customHeight="true" outlineLevel="0" collapsed="false">
      <c r="A72" s="9" t="s">
        <v>226</v>
      </c>
      <c r="B72" s="7" t="str">
        <f aca="false">IF($B$71&lt;=1,"VERIFICATA","NON VERIFICATA")</f>
        <v>VERIFICATA</v>
      </c>
      <c r="C72" s="12"/>
      <c r="E72" s="16"/>
      <c r="F72" s="16"/>
      <c r="G72" s="16"/>
      <c r="H72" s="16"/>
    </row>
    <row r="74" customFormat="false" ht="18" hidden="false" customHeight="true" outlineLevel="0" collapsed="false">
      <c r="A74" s="4" t="s">
        <v>266</v>
      </c>
      <c r="B74" s="4"/>
      <c r="C74" s="4"/>
      <c r="D74" s="4"/>
      <c r="E74" s="4"/>
      <c r="F74" s="4"/>
      <c r="G74" s="4"/>
      <c r="H74" s="4"/>
    </row>
    <row r="75" customFormat="false" ht="30" hidden="false" customHeight="true" outlineLevel="0" collapsed="false">
      <c r="A75" s="11" t="s">
        <v>40</v>
      </c>
      <c r="B75" s="11" t="s">
        <v>159</v>
      </c>
      <c r="C75" s="11" t="s">
        <v>160</v>
      </c>
      <c r="D75" s="11" t="s">
        <v>161</v>
      </c>
    </row>
    <row r="76" customFormat="false" ht="15" hidden="false" customHeight="false" outlineLevel="0" collapsed="false">
      <c r="A76" s="9" t="s">
        <v>229</v>
      </c>
      <c r="B76" s="28" t="n">
        <v>86.6</v>
      </c>
      <c r="C76" s="24" t="n">
        <f aca="false">$B$65</f>
        <v>86.6025403784439</v>
      </c>
      <c r="D76" s="24" t="n">
        <f aca="false">C76-B76</f>
        <v>0.00254037844388222</v>
      </c>
    </row>
    <row r="77" customFormat="false" ht="15" hidden="false" customHeight="false" outlineLevel="0" collapsed="false">
      <c r="A77" s="9" t="s">
        <v>259</v>
      </c>
      <c r="B77" s="27" t="n">
        <v>0.3934</v>
      </c>
      <c r="C77" s="23" t="n">
        <f aca="false">$B$68</f>
        <v>0.393425520378457</v>
      </c>
      <c r="D77" s="23" t="n">
        <f aca="false">C77-B77</f>
        <v>2.55203784571556E-005</v>
      </c>
    </row>
    <row r="78" customFormat="false" ht="15" hidden="false" customHeight="false" outlineLevel="0" collapsed="false">
      <c r="A78" s="9" t="s">
        <v>267</v>
      </c>
      <c r="B78" s="42" t="n">
        <v>0.788</v>
      </c>
      <c r="C78" s="33" t="n">
        <f aca="false">$B$71</f>
        <v>0.788001350221553</v>
      </c>
      <c r="D78" s="33" t="n">
        <f aca="false">C78-B78</f>
        <v>1.35022155256515E-006</v>
      </c>
    </row>
    <row r="80" customFormat="false" ht="21.75" hidden="false" customHeight="true" outlineLevel="0" collapsed="false">
      <c r="A80" s="3" t="s">
        <v>268</v>
      </c>
    </row>
    <row r="81" customFormat="false" ht="31.5" hidden="false" customHeight="true" outlineLevel="0" collapsed="false">
      <c r="A81" s="4" t="s">
        <v>269</v>
      </c>
      <c r="B81" s="4"/>
      <c r="C81" s="4"/>
      <c r="D81" s="4"/>
      <c r="E81" s="4"/>
      <c r="F81" s="4"/>
      <c r="G81" s="4"/>
      <c r="H81" s="4"/>
    </row>
    <row r="82" customFormat="false" ht="30" hidden="false" customHeight="true" outlineLevel="0" collapsed="false">
      <c r="A82" s="11" t="s">
        <v>40</v>
      </c>
      <c r="B82" s="11" t="s">
        <v>41</v>
      </c>
      <c r="C82" s="11" t="s">
        <v>42</v>
      </c>
      <c r="D82" s="11"/>
      <c r="E82" s="11" t="s">
        <v>43</v>
      </c>
    </row>
    <row r="83" customFormat="false" ht="27.75" hidden="false" customHeight="true" outlineLevel="0" collapsed="false">
      <c r="A83" s="9" t="s">
        <v>235</v>
      </c>
      <c r="B83" s="39" t="n">
        <v>30</v>
      </c>
      <c r="C83" s="12" t="s">
        <v>209</v>
      </c>
      <c r="E83" s="16"/>
      <c r="F83" s="16"/>
      <c r="G83" s="16"/>
      <c r="H83" s="16"/>
    </row>
    <row r="84" customFormat="false" ht="27.75" hidden="false" customHeight="true" outlineLevel="0" collapsed="false">
      <c r="A84" s="9" t="s">
        <v>237</v>
      </c>
      <c r="B84" s="39" t="n">
        <v>30</v>
      </c>
      <c r="C84" s="12" t="s">
        <v>209</v>
      </c>
      <c r="E84" s="16"/>
      <c r="F84" s="16"/>
      <c r="G84" s="16"/>
      <c r="H84" s="16"/>
    </row>
    <row r="85" customFormat="false" ht="27.75" hidden="false" customHeight="true" outlineLevel="0" collapsed="false">
      <c r="A85" s="9" t="s">
        <v>53</v>
      </c>
      <c r="B85" s="17" t="n">
        <v>4</v>
      </c>
      <c r="C85" s="12" t="s">
        <v>54</v>
      </c>
      <c r="E85" s="16"/>
      <c r="F85" s="16"/>
      <c r="G85" s="16"/>
      <c r="H85" s="16"/>
    </row>
    <row r="86" customFormat="false" ht="27.75" hidden="false" customHeight="true" outlineLevel="0" collapsed="false">
      <c r="A86" s="9" t="s">
        <v>193</v>
      </c>
      <c r="B86" s="39" t="n">
        <v>1</v>
      </c>
      <c r="C86" s="12" t="s">
        <v>67</v>
      </c>
      <c r="E86" s="16" t="s">
        <v>238</v>
      </c>
      <c r="F86" s="16"/>
      <c r="G86" s="16"/>
      <c r="H86" s="16"/>
    </row>
    <row r="87" customFormat="false" ht="27.75" hidden="false" customHeight="true" outlineLevel="0" collapsed="false">
      <c r="A87" s="9" t="s">
        <v>195</v>
      </c>
      <c r="B87" s="17" t="n">
        <v>1000</v>
      </c>
      <c r="C87" s="12" t="s">
        <v>48</v>
      </c>
      <c r="E87" s="16"/>
      <c r="F87" s="16"/>
      <c r="G87" s="16"/>
      <c r="H87" s="16"/>
    </row>
    <row r="88" customFormat="false" ht="27.75" hidden="false" customHeight="true" outlineLevel="0" collapsed="false">
      <c r="A88" s="9" t="s">
        <v>270</v>
      </c>
      <c r="B88" s="40" t="n">
        <v>25</v>
      </c>
      <c r="C88" s="12" t="s">
        <v>57</v>
      </c>
      <c r="E88" s="16" t="s">
        <v>271</v>
      </c>
      <c r="F88" s="16"/>
      <c r="G88" s="16"/>
      <c r="H88" s="16"/>
    </row>
    <row r="89" customFormat="false" ht="27.75" hidden="false" customHeight="true" outlineLevel="0" collapsed="false">
      <c r="A89" s="9" t="s">
        <v>272</v>
      </c>
      <c r="B89" s="17" t="n">
        <v>1</v>
      </c>
      <c r="C89" s="12" t="s">
        <v>67</v>
      </c>
      <c r="E89" s="16" t="s">
        <v>273</v>
      </c>
      <c r="F89" s="16"/>
      <c r="G89" s="16"/>
      <c r="H89" s="16"/>
    </row>
    <row r="91" customFormat="false" ht="30" hidden="false" customHeight="true" outlineLevel="0" collapsed="false">
      <c r="A91" s="11" t="s">
        <v>40</v>
      </c>
      <c r="B91" s="11" t="s">
        <v>60</v>
      </c>
      <c r="C91" s="11" t="s">
        <v>42</v>
      </c>
      <c r="D91" s="11"/>
      <c r="E91" s="11" t="s">
        <v>61</v>
      </c>
    </row>
    <row r="92" customFormat="false" ht="24" hidden="false" customHeight="true" outlineLevel="0" collapsed="false">
      <c r="A92" s="9" t="s">
        <v>274</v>
      </c>
      <c r="B92" s="24" t="n">
        <f aca="false">$B$83*$B$84</f>
        <v>900</v>
      </c>
      <c r="C92" s="12" t="s">
        <v>51</v>
      </c>
      <c r="E92" s="16" t="s">
        <v>249</v>
      </c>
      <c r="F92" s="16"/>
      <c r="G92" s="16"/>
      <c r="H92" s="16"/>
    </row>
    <row r="93" customFormat="false" ht="24" hidden="false" customHeight="true" outlineLevel="0" collapsed="false">
      <c r="A93" s="9" t="s">
        <v>252</v>
      </c>
      <c r="B93" s="33" t="n">
        <f aca="false">MIN($B$83,$B$84)/SQRT(12)</f>
        <v>8.66025403784439</v>
      </c>
      <c r="C93" s="12" t="s">
        <v>209</v>
      </c>
      <c r="E93" s="16" t="s">
        <v>275</v>
      </c>
      <c r="F93" s="16"/>
      <c r="G93" s="16"/>
      <c r="H93" s="16"/>
    </row>
    <row r="94" customFormat="false" ht="24" hidden="false" customHeight="true" outlineLevel="0" collapsed="false">
      <c r="A94" s="9" t="s">
        <v>211</v>
      </c>
      <c r="B94" s="41" t="n">
        <f aca="false">$B$86*$B$85*100/$B$93</f>
        <v>46.1880215351701</v>
      </c>
      <c r="C94" s="12" t="s">
        <v>67</v>
      </c>
      <c r="E94" s="16" t="s">
        <v>254</v>
      </c>
      <c r="F94" s="16"/>
      <c r="G94" s="16"/>
      <c r="H94" s="16"/>
    </row>
    <row r="95" customFormat="false" ht="24" hidden="false" customHeight="true" outlineLevel="0" collapsed="false">
      <c r="A95" s="9" t="s">
        <v>276</v>
      </c>
      <c r="B95" s="24" t="n">
        <f aca="false">0.85*$B$88/1.5</f>
        <v>14.1666666666667</v>
      </c>
      <c r="C95" s="12" t="s">
        <v>57</v>
      </c>
      <c r="E95" s="16" t="s">
        <v>277</v>
      </c>
      <c r="F95" s="16"/>
      <c r="G95" s="16"/>
      <c r="H95" s="16"/>
    </row>
    <row r="96" customFormat="false" ht="24" hidden="false" customHeight="true" outlineLevel="0" collapsed="false">
      <c r="A96" s="9" t="s">
        <v>278</v>
      </c>
      <c r="B96" s="23" t="n">
        <f aca="false">$B$87*10/$B$92/$B$95</f>
        <v>0.784313725490196</v>
      </c>
      <c r="C96" s="12" t="s">
        <v>67</v>
      </c>
      <c r="E96" s="16" t="s">
        <v>279</v>
      </c>
      <c r="F96" s="16"/>
      <c r="G96" s="16"/>
      <c r="H96" s="16"/>
    </row>
    <row r="97" customFormat="false" ht="24" hidden="false" customHeight="true" outlineLevel="0" collapsed="false">
      <c r="A97" s="9" t="s">
        <v>280</v>
      </c>
      <c r="B97" s="24" t="n">
        <f aca="false">MIN(2.7,MAX(0.7,1.7-$B$89))</f>
        <v>0.7</v>
      </c>
      <c r="C97" s="12" t="s">
        <v>67</v>
      </c>
      <c r="E97" s="16" t="s">
        <v>281</v>
      </c>
      <c r="F97" s="16"/>
      <c r="G97" s="16"/>
      <c r="H97" s="16"/>
    </row>
    <row r="98" customFormat="false" ht="24" hidden="false" customHeight="true" outlineLevel="0" collapsed="false">
      <c r="A98" s="9" t="s">
        <v>282</v>
      </c>
      <c r="B98" s="41" t="n">
        <f aca="false">15.4*$B$97/SQRT($B$96)</f>
        <v>12.1723337943058</v>
      </c>
      <c r="C98" s="12" t="s">
        <v>67</v>
      </c>
      <c r="E98" s="16" t="s">
        <v>283</v>
      </c>
      <c r="F98" s="16"/>
      <c r="G98" s="16"/>
      <c r="H98" s="16"/>
    </row>
    <row r="99" customFormat="false" ht="24" hidden="false" customHeight="true" outlineLevel="0" collapsed="false">
      <c r="A99" s="9" t="s">
        <v>226</v>
      </c>
      <c r="B99" s="7" t="str">
        <f aca="false">IF($B$94&lt;=$B$98,"λ ≤ λ*: 2° ordine trascurabile","λ &gt; λ*: serve l’analisi del 2° ordine")</f>
        <v>λ &gt; λ*: serve l’analisi del 2° ordine</v>
      </c>
      <c r="C99" s="12"/>
      <c r="E99" s="16"/>
      <c r="F99" s="16"/>
      <c r="G99" s="16"/>
      <c r="H99" s="16"/>
    </row>
    <row r="101" customFormat="false" ht="18" hidden="false" customHeight="true" outlineLevel="0" collapsed="false">
      <c r="A101" s="4" t="s">
        <v>284</v>
      </c>
      <c r="B101" s="4"/>
      <c r="C101" s="4"/>
      <c r="D101" s="4"/>
      <c r="E101" s="4"/>
      <c r="F101" s="4"/>
      <c r="G101" s="4"/>
      <c r="H101" s="4"/>
    </row>
    <row r="102" customFormat="false" ht="30" hidden="false" customHeight="true" outlineLevel="0" collapsed="false">
      <c r="A102" s="11" t="s">
        <v>40</v>
      </c>
      <c r="B102" s="11" t="s">
        <v>159</v>
      </c>
      <c r="C102" s="11" t="s">
        <v>160</v>
      </c>
      <c r="D102" s="11" t="s">
        <v>161</v>
      </c>
    </row>
    <row r="103" customFormat="false" ht="15" hidden="false" customHeight="false" outlineLevel="0" collapsed="false">
      <c r="A103" s="9" t="s">
        <v>229</v>
      </c>
      <c r="B103" s="28" t="n">
        <v>46.19</v>
      </c>
      <c r="C103" s="24" t="n">
        <f aca="false">$B$94</f>
        <v>46.1880215351701</v>
      </c>
      <c r="D103" s="24" t="n">
        <f aca="false">C103-B103</f>
        <v>-0.00197846482993924</v>
      </c>
    </row>
    <row r="104" customFormat="false" ht="15" hidden="false" customHeight="false" outlineLevel="0" collapsed="false">
      <c r="A104" s="9" t="s">
        <v>278</v>
      </c>
      <c r="B104" s="27" t="n">
        <v>0.7843</v>
      </c>
      <c r="C104" s="23" t="n">
        <f aca="false">$B$96</f>
        <v>0.784313725490196</v>
      </c>
      <c r="D104" s="23" t="n">
        <f aca="false">C104-B104</f>
        <v>1.37254901960704E-005</v>
      </c>
    </row>
    <row r="105" customFormat="false" ht="15" hidden="false" customHeight="false" outlineLevel="0" collapsed="false">
      <c r="A105" s="9" t="s">
        <v>285</v>
      </c>
      <c r="B105" s="28" t="n">
        <v>12.17</v>
      </c>
      <c r="C105" s="24" t="n">
        <f aca="false">$B$98</f>
        <v>12.1723337943058</v>
      </c>
      <c r="D105" s="24" t="n">
        <f aca="false">C105-B105</f>
        <v>0.00233379430583902</v>
      </c>
    </row>
    <row r="107" customFormat="false" ht="21.75" hidden="false" customHeight="true" outlineLevel="0" collapsed="false">
      <c r="A107" s="3" t="s">
        <v>97</v>
      </c>
    </row>
    <row r="108" customFormat="false" ht="21.75" hidden="false" customHeight="true" outlineLevel="0" collapsed="false">
      <c r="A108" s="31" t="s">
        <v>286</v>
      </c>
      <c r="B108" s="31"/>
      <c r="C108" s="31"/>
      <c r="D108" s="31"/>
      <c r="E108" s="31"/>
      <c r="F108" s="31"/>
      <c r="G108" s="31"/>
      <c r="H108" s="31"/>
    </row>
    <row r="109" customFormat="false" ht="45.75" hidden="false" customHeight="true" outlineLevel="0" collapsed="false">
      <c r="A109" s="4" t="s">
        <v>287</v>
      </c>
      <c r="B109" s="4"/>
      <c r="C109" s="4"/>
      <c r="D109" s="4"/>
      <c r="E109" s="4"/>
      <c r="F109" s="4"/>
      <c r="G109" s="4"/>
      <c r="H109" s="4"/>
    </row>
    <row r="110" customFormat="false" ht="30" hidden="false" customHeight="true" outlineLevel="0" collapsed="false">
      <c r="A110" s="11" t="s">
        <v>39</v>
      </c>
      <c r="B110" s="11" t="s">
        <v>41</v>
      </c>
      <c r="C110" s="11" t="s">
        <v>42</v>
      </c>
    </row>
    <row r="111" customFormat="false" ht="15" hidden="false" customHeight="false" outlineLevel="0" collapsed="false">
      <c r="A111" s="9" t="s">
        <v>102</v>
      </c>
      <c r="B111" s="28" t="n">
        <v>28.49</v>
      </c>
      <c r="C111" s="12" t="s">
        <v>51</v>
      </c>
    </row>
    <row r="112" customFormat="false" ht="15" hidden="false" customHeight="false" outlineLevel="0" collapsed="false">
      <c r="A112" s="9" t="s">
        <v>250</v>
      </c>
      <c r="B112" s="44" t="n">
        <v>142.4</v>
      </c>
      <c r="C112" s="12" t="s">
        <v>132</v>
      </c>
    </row>
    <row r="113" customFormat="false" ht="15" hidden="false" customHeight="false" outlineLevel="0" collapsed="false">
      <c r="A113" s="9" t="s">
        <v>180</v>
      </c>
      <c r="B113" s="28" t="n">
        <v>3</v>
      </c>
      <c r="C113" s="12" t="s">
        <v>54</v>
      </c>
    </row>
    <row r="114" customFormat="false" ht="15" hidden="false" customHeight="false" outlineLevel="0" collapsed="false">
      <c r="A114" s="9" t="s">
        <v>288</v>
      </c>
      <c r="B114" s="28" t="n">
        <v>150</v>
      </c>
      <c r="C114" s="12" t="s">
        <v>48</v>
      </c>
    </row>
    <row r="115" customFormat="false" ht="30" hidden="false" customHeight="true" outlineLevel="0" collapsed="false">
      <c r="A115" s="11" t="s">
        <v>40</v>
      </c>
      <c r="B115" s="11" t="s">
        <v>104</v>
      </c>
      <c r="C115" s="11" t="s">
        <v>42</v>
      </c>
      <c r="D115" s="11"/>
      <c r="E115" s="11" t="s">
        <v>105</v>
      </c>
      <c r="F115" s="11" t="s">
        <v>106</v>
      </c>
    </row>
    <row r="116" customFormat="false" ht="15" hidden="false" customHeight="false" outlineLevel="0" collapsed="false">
      <c r="A116" s="9" t="s">
        <v>229</v>
      </c>
      <c r="B116" s="45"/>
      <c r="C116" s="12" t="s">
        <v>67</v>
      </c>
      <c r="E116" s="24" t="n">
        <f aca="false">$B$113*100/SQRT($B$112/$B$111)</f>
        <v>134.187630669593</v>
      </c>
      <c r="F116" s="34" t="str">
        <f aca="false">IF(B116="","",IF(ABS(B116-E116)&lt;=0.01*ABS(E116),"✓ corretto","✗ ricontrolla"))</f>
        <v/>
      </c>
    </row>
    <row r="117" customFormat="false" ht="15" hidden="false" customHeight="false" outlineLevel="0" collapsed="false">
      <c r="A117" s="9" t="s">
        <v>289</v>
      </c>
      <c r="B117" s="45"/>
      <c r="C117" s="12" t="s">
        <v>48</v>
      </c>
      <c r="E117" s="24" t="n">
        <f aca="false">PI()^2*210000*$B$112/($B$113^2*100000)</f>
        <v>327.934055566862</v>
      </c>
      <c r="F117" s="34" t="str">
        <f aca="false">IF(B117="","",IF(ABS(B117-E117)&lt;=0.01*ABS(E117),"✓ corretto","✗ ricontrolla"))</f>
        <v/>
      </c>
    </row>
    <row r="118" customFormat="false" ht="15" hidden="false" customHeight="false" outlineLevel="0" collapsed="false">
      <c r="A118" s="9" t="s">
        <v>231</v>
      </c>
      <c r="B118" s="36"/>
      <c r="C118" s="12" t="s">
        <v>67</v>
      </c>
      <c r="E118" s="23" t="n">
        <f aca="false">MIN(1,1/(0.5*(1+0.34*(SQRT($B$111*27.5/$E$117)-0.2)+$B$111*27.5/$E$117)+SQRT((0.5*(1+0.34*(SQRT($B$111*27.5/$E$117)-0.2)+$B$111*27.5/$E$117))^2-$B$111*27.5/$E$117)))</f>
        <v>0.325955063523084</v>
      </c>
      <c r="F118" s="34" t="str">
        <f aca="false">IF(B118="","",IF(ABS(B118-E118)&lt;=0.01*ABS(E118),"✓ corretto","✗ ricontrolla"))</f>
        <v/>
      </c>
    </row>
    <row r="119" customFormat="false" ht="15" hidden="false" customHeight="false" outlineLevel="0" collapsed="false">
      <c r="A119" s="9" t="s">
        <v>290</v>
      </c>
      <c r="B119" s="45"/>
      <c r="C119" s="12" t="s">
        <v>48</v>
      </c>
      <c r="E119" s="24" t="n">
        <f aca="false">$E$118*$B$111*27.5/1.05</f>
        <v>243.216803232141</v>
      </c>
      <c r="F119" s="34" t="str">
        <f aca="false">IF(B119="","",IF(ABS(B119-E119)&lt;=0.01*ABS(E119),"✓ corretto","✗ ricontrolla"))</f>
        <v/>
      </c>
    </row>
    <row r="120" customFormat="false" ht="15" hidden="false" customHeight="false" outlineLevel="0" collapsed="false">
      <c r="A120" s="9" t="s">
        <v>291</v>
      </c>
      <c r="B120" s="32"/>
      <c r="C120" s="12" t="s">
        <v>67</v>
      </c>
      <c r="E120" s="33" t="n">
        <f aca="false">$B$114/$E$119</f>
        <v>0.616733704277952</v>
      </c>
      <c r="F120" s="34" t="str">
        <f aca="false">IF(B120="","",IF(ABS(B120-E120)&lt;=0.01*ABS(E120),"✓ corretto","✗ ricontrolla"))</f>
        <v/>
      </c>
    </row>
    <row r="122" customFormat="false" ht="21.75" hidden="false" customHeight="true" outlineLevel="0" collapsed="false">
      <c r="A122" s="31" t="s">
        <v>292</v>
      </c>
      <c r="B122" s="31"/>
      <c r="C122" s="31"/>
      <c r="D122" s="31"/>
      <c r="E122" s="31"/>
      <c r="F122" s="31"/>
      <c r="G122" s="31"/>
      <c r="H122" s="31"/>
    </row>
    <row r="123" customFormat="false" ht="45.75" hidden="false" customHeight="true" outlineLevel="0" collapsed="false">
      <c r="A123" s="4" t="s">
        <v>293</v>
      </c>
      <c r="B123" s="4"/>
      <c r="C123" s="4"/>
      <c r="D123" s="4"/>
      <c r="E123" s="4"/>
      <c r="F123" s="4"/>
      <c r="G123" s="4"/>
      <c r="H123" s="4"/>
    </row>
    <row r="124" customFormat="false" ht="30" hidden="false" customHeight="true" outlineLevel="0" collapsed="false">
      <c r="A124" s="11" t="s">
        <v>39</v>
      </c>
      <c r="B124" s="11" t="s">
        <v>41</v>
      </c>
      <c r="C124" s="11" t="s">
        <v>42</v>
      </c>
    </row>
    <row r="125" customFormat="false" ht="15" hidden="false" customHeight="false" outlineLevel="0" collapsed="false">
      <c r="A125" s="9" t="s">
        <v>294</v>
      </c>
      <c r="B125" s="44" t="n">
        <v>10</v>
      </c>
      <c r="C125" s="12" t="s">
        <v>209</v>
      </c>
    </row>
    <row r="126" customFormat="false" ht="15" hidden="false" customHeight="false" outlineLevel="0" collapsed="false">
      <c r="A126" s="9" t="s">
        <v>180</v>
      </c>
      <c r="B126" s="28" t="n">
        <v>2.5</v>
      </c>
      <c r="C126" s="12" t="s">
        <v>54</v>
      </c>
    </row>
    <row r="127" customFormat="false" ht="15" hidden="false" customHeight="false" outlineLevel="0" collapsed="false">
      <c r="A127" s="9" t="s">
        <v>288</v>
      </c>
      <c r="B127" s="28" t="n">
        <v>30</v>
      </c>
      <c r="C127" s="12" t="s">
        <v>48</v>
      </c>
    </row>
    <row r="128" customFormat="false" ht="30" hidden="false" customHeight="true" outlineLevel="0" collapsed="false">
      <c r="A128" s="11" t="s">
        <v>40</v>
      </c>
      <c r="B128" s="11" t="s">
        <v>104</v>
      </c>
      <c r="C128" s="11" t="s">
        <v>42</v>
      </c>
      <c r="D128" s="11"/>
      <c r="E128" s="11" t="s">
        <v>105</v>
      </c>
      <c r="F128" s="11" t="s">
        <v>106</v>
      </c>
    </row>
    <row r="129" customFormat="false" ht="15" hidden="false" customHeight="false" outlineLevel="0" collapsed="false">
      <c r="A129" s="9" t="s">
        <v>229</v>
      </c>
      <c r="B129" s="45"/>
      <c r="C129" s="12" t="s">
        <v>67</v>
      </c>
      <c r="E129" s="24" t="n">
        <f aca="false">$B$126*100/($B$125/SQRT(12))</f>
        <v>86.6025403784439</v>
      </c>
      <c r="F129" s="34" t="str">
        <f aca="false">IF(B129="","",IF(ABS(B129-E129)&lt;=0.01*ABS(E129),"✓ corretto","✗ ricontrolla"))</f>
        <v/>
      </c>
    </row>
    <row r="130" customFormat="false" ht="15" hidden="false" customHeight="false" outlineLevel="0" collapsed="false">
      <c r="A130" s="9" t="s">
        <v>295</v>
      </c>
      <c r="B130" s="36"/>
      <c r="C130" s="12" t="s">
        <v>67</v>
      </c>
      <c r="E130" s="23" t="n">
        <f aca="false">$E$129/PI()*SQRT(21/7400)</f>
        <v>1.46850201408121</v>
      </c>
      <c r="F130" s="34" t="str">
        <f aca="false">IF(B130="","",IF(ABS(B130-E130)&lt;=0.01*ABS(E130),"✓ corretto","✗ ricontrolla"))</f>
        <v/>
      </c>
    </row>
    <row r="131" customFormat="false" ht="15" hidden="false" customHeight="false" outlineLevel="0" collapsed="false">
      <c r="A131" s="9" t="s">
        <v>259</v>
      </c>
      <c r="B131" s="36"/>
      <c r="C131" s="12" t="s">
        <v>67</v>
      </c>
      <c r="E131" s="23" t="n">
        <f aca="false">IF($E$130&lt;=0.3,1,1/(0.5*(1+0.2*($E$130-0.3)+$E$130^2)+SQRT((0.5*(1+0.2*($E$130-0.3)+$E$130^2))^2-$E$130^2)))</f>
        <v>0.393425520378457</v>
      </c>
      <c r="F131" s="34" t="str">
        <f aca="false">IF(B131="","",IF(ABS(B131-E131)&lt;=0.01*ABS(E131),"✓ corretto","✗ ricontrolla"))</f>
        <v/>
      </c>
    </row>
    <row r="132" customFormat="false" ht="15" hidden="false" customHeight="false" outlineLevel="0" collapsed="false">
      <c r="A132" s="9" t="s">
        <v>296</v>
      </c>
      <c r="B132" s="32"/>
      <c r="C132" s="12" t="s">
        <v>67</v>
      </c>
      <c r="E132" s="33" t="n">
        <f aca="false">$B$127*10/$B$125^2/($E$131*0.8*21/1.5)</f>
        <v>0.680833166591421</v>
      </c>
      <c r="F132" s="34" t="str">
        <f aca="false">IF(B132="","",IF(ABS(B132-E132)&lt;=0.01*ABS(E132),"✓ corretto","✗ ricontrolla"))</f>
        <v/>
      </c>
    </row>
    <row r="134" customFormat="false" ht="30" hidden="false" customHeight="true" outlineLevel="0" collapsed="false">
      <c r="A134" s="13" t="s">
        <v>297</v>
      </c>
      <c r="B134" s="13"/>
      <c r="C134" s="13"/>
      <c r="D134" s="13"/>
      <c r="E134" s="13"/>
      <c r="F134" s="13"/>
      <c r="G134" s="13"/>
      <c r="H134" s="13"/>
    </row>
  </sheetData>
  <mergeCells count="70">
    <mergeCell ref="A1:H1"/>
    <mergeCell ref="A2:H2"/>
    <mergeCell ref="A5:H5"/>
    <mergeCell ref="A12:H12"/>
    <mergeCell ref="A15:H15"/>
    <mergeCell ref="E17:H17"/>
    <mergeCell ref="E18:H18"/>
    <mergeCell ref="E19:H19"/>
    <mergeCell ref="E20:H20"/>
    <mergeCell ref="E21:H21"/>
    <mergeCell ref="E22:H22"/>
    <mergeCell ref="E23:H23"/>
    <mergeCell ref="E24:H24"/>
    <mergeCell ref="E25:H25"/>
    <mergeCell ref="E28:H28"/>
    <mergeCell ref="E29:H29"/>
    <mergeCell ref="E30:H30"/>
    <mergeCell ref="E31:H31"/>
    <mergeCell ref="E32:H32"/>
    <mergeCell ref="E33:H33"/>
    <mergeCell ref="E34:H34"/>
    <mergeCell ref="E35:H35"/>
    <mergeCell ref="E36:H36"/>
    <mergeCell ref="E37:H37"/>
    <mergeCell ref="E38:H38"/>
    <mergeCell ref="A40:H40"/>
    <mergeCell ref="E50:H50"/>
    <mergeCell ref="E51:H51"/>
    <mergeCell ref="E52:H52"/>
    <mergeCell ref="E53:H53"/>
    <mergeCell ref="E54:H54"/>
    <mergeCell ref="E55:H55"/>
    <mergeCell ref="E56:H56"/>
    <mergeCell ref="E57:H57"/>
    <mergeCell ref="E58:H58"/>
    <mergeCell ref="E59:H59"/>
    <mergeCell ref="E62:H62"/>
    <mergeCell ref="E63:H63"/>
    <mergeCell ref="E64:H64"/>
    <mergeCell ref="E65:H65"/>
    <mergeCell ref="E66:H66"/>
    <mergeCell ref="E67:H67"/>
    <mergeCell ref="E68:H68"/>
    <mergeCell ref="E69:H69"/>
    <mergeCell ref="E70:H70"/>
    <mergeCell ref="E71:H71"/>
    <mergeCell ref="E72:H72"/>
    <mergeCell ref="A74:H74"/>
    <mergeCell ref="A81:H81"/>
    <mergeCell ref="E83:H83"/>
    <mergeCell ref="E84:H84"/>
    <mergeCell ref="E85:H85"/>
    <mergeCell ref="E86:H86"/>
    <mergeCell ref="E87:H87"/>
    <mergeCell ref="E88:H88"/>
    <mergeCell ref="E89:H89"/>
    <mergeCell ref="E92:H92"/>
    <mergeCell ref="E93:H93"/>
    <mergeCell ref="E94:H94"/>
    <mergeCell ref="E95:H95"/>
    <mergeCell ref="E96:H96"/>
    <mergeCell ref="E97:H97"/>
    <mergeCell ref="E98:H98"/>
    <mergeCell ref="E99:H99"/>
    <mergeCell ref="A101:H101"/>
    <mergeCell ref="A108:H108"/>
    <mergeCell ref="A109:H109"/>
    <mergeCell ref="A122:H122"/>
    <mergeCell ref="A123:H123"/>
    <mergeCell ref="A134:H134"/>
  </mergeCells>
  <dataValidations count="2">
    <dataValidation allowBlank="false" errorStyle="stop" operator="between" showDropDown="false" showErrorMessage="false" showInputMessage="false" sqref="B20 B53 B86" type="list">
      <formula1>"0.5,0.7,1,2"</formula1>
      <formula2>0</formula2>
    </dataValidation>
    <dataValidation allowBlank="false" errorStyle="stop" operator="between" showDropDown="false" showErrorMessage="false" showInputMessage="false" sqref="B24" type="list">
      <formula1>"a0,a,b,c,d"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4"/>
    <col collapsed="false" customWidth="true" hidden="false" outlineLevel="0" max="5" min="3" style="0" width="13"/>
    <col collapsed="false" customWidth="true" hidden="false" outlineLevel="0" max="7" min="6" style="0" width="14"/>
    <col collapsed="false" customWidth="true" hidden="false" outlineLevel="0" max="8" min="8" style="0" width="44"/>
    <col collapsed="false" customWidth="true" hidden="false" outlineLevel="0" max="9" min="9" style="0" width="26"/>
  </cols>
  <sheetData>
    <row r="1" customFormat="false" ht="33.75" hidden="false" customHeight="true" outlineLevel="0" collapsed="false">
      <c r="A1" s="1" t="s">
        <v>298</v>
      </c>
      <c r="B1" s="1"/>
      <c r="C1" s="1"/>
      <c r="D1" s="1"/>
      <c r="E1" s="1"/>
      <c r="F1" s="1"/>
      <c r="G1" s="1"/>
      <c r="H1" s="1"/>
      <c r="I1" s="1"/>
    </row>
    <row r="2" customFormat="false" ht="19.5" hidden="false" customHeight="true" outlineLevel="0" collapsed="false">
      <c r="A2" s="2" t="s">
        <v>299</v>
      </c>
      <c r="B2" s="2"/>
      <c r="C2" s="2"/>
      <c r="D2" s="2"/>
      <c r="E2" s="2"/>
      <c r="F2" s="2"/>
      <c r="G2" s="2"/>
      <c r="H2" s="2"/>
      <c r="I2" s="2"/>
    </row>
    <row r="4" customFormat="false" ht="21.75" hidden="false" customHeight="true" outlineLevel="0" collapsed="false">
      <c r="A4" s="3" t="s">
        <v>300</v>
      </c>
    </row>
    <row r="5" customFormat="false" ht="30" hidden="false" customHeight="true" outlineLevel="0" collapsed="false">
      <c r="A5" s="11" t="s">
        <v>301</v>
      </c>
      <c r="B5" s="11" t="s">
        <v>41</v>
      </c>
      <c r="C5" s="11" t="s">
        <v>302</v>
      </c>
      <c r="D5" s="11"/>
      <c r="E5" s="11"/>
      <c r="F5" s="11"/>
      <c r="G5" s="11"/>
      <c r="H5" s="11" t="s">
        <v>303</v>
      </c>
    </row>
    <row r="6" customFormat="false" ht="15" hidden="false" customHeight="true" outlineLevel="0" collapsed="false">
      <c r="A6" s="9" t="s">
        <v>304</v>
      </c>
      <c r="B6" s="17" t="n">
        <v>1.05</v>
      </c>
      <c r="C6" s="16" t="s">
        <v>305</v>
      </c>
      <c r="D6" s="16"/>
      <c r="E6" s="16"/>
      <c r="F6" s="16"/>
      <c r="G6" s="16"/>
      <c r="H6" s="6" t="s">
        <v>306</v>
      </c>
    </row>
    <row r="7" customFormat="false" ht="15" hidden="false" customHeight="true" outlineLevel="0" collapsed="false">
      <c r="A7" s="9" t="s">
        <v>307</v>
      </c>
      <c r="B7" s="17" t="n">
        <v>0.85</v>
      </c>
      <c r="C7" s="16" t="s">
        <v>308</v>
      </c>
      <c r="D7" s="16"/>
      <c r="E7" s="16"/>
      <c r="F7" s="16"/>
      <c r="G7" s="16"/>
      <c r="H7" s="6" t="s">
        <v>309</v>
      </c>
    </row>
    <row r="8" customFormat="false" ht="15" hidden="false" customHeight="true" outlineLevel="0" collapsed="false">
      <c r="A8" s="9" t="s">
        <v>310</v>
      </c>
      <c r="B8" s="17" t="n">
        <v>1.5</v>
      </c>
      <c r="C8" s="16" t="s">
        <v>311</v>
      </c>
      <c r="D8" s="16"/>
      <c r="E8" s="16"/>
      <c r="F8" s="16"/>
      <c r="G8" s="16"/>
      <c r="H8" s="6" t="s">
        <v>309</v>
      </c>
    </row>
    <row r="9" customFormat="false" ht="15" hidden="false" customHeight="true" outlineLevel="0" collapsed="false">
      <c r="A9" s="9" t="s">
        <v>312</v>
      </c>
      <c r="B9" s="17" t="n">
        <v>0.8</v>
      </c>
      <c r="C9" s="16" t="s">
        <v>313</v>
      </c>
      <c r="D9" s="16"/>
      <c r="E9" s="16"/>
      <c r="F9" s="16"/>
      <c r="G9" s="16"/>
      <c r="H9" s="6" t="s">
        <v>314</v>
      </c>
    </row>
    <row r="10" customFormat="false" ht="15" hidden="false" customHeight="true" outlineLevel="0" collapsed="false">
      <c r="A10" s="9" t="s">
        <v>315</v>
      </c>
      <c r="B10" s="17" t="n">
        <v>1.5</v>
      </c>
      <c r="C10" s="16" t="s">
        <v>316</v>
      </c>
      <c r="D10" s="16"/>
      <c r="E10" s="16"/>
      <c r="F10" s="16"/>
      <c r="G10" s="16"/>
      <c r="H10" s="6" t="s">
        <v>317</v>
      </c>
    </row>
    <row r="11" customFormat="false" ht="15" hidden="false" customHeight="true" outlineLevel="0" collapsed="false">
      <c r="A11" s="9" t="s">
        <v>318</v>
      </c>
      <c r="B11" s="17" t="n">
        <v>1.45</v>
      </c>
      <c r="C11" s="16" t="s">
        <v>319</v>
      </c>
      <c r="D11" s="16"/>
      <c r="E11" s="16"/>
      <c r="F11" s="16"/>
      <c r="G11" s="16"/>
      <c r="H11" s="6" t="s">
        <v>317</v>
      </c>
    </row>
    <row r="13" customFormat="false" ht="21.75" hidden="false" customHeight="true" outlineLevel="0" collapsed="false">
      <c r="A13" s="3" t="s">
        <v>320</v>
      </c>
    </row>
    <row r="14" customFormat="false" ht="30" hidden="false" customHeight="true" outlineLevel="0" collapsed="false">
      <c r="A14" s="11" t="s">
        <v>321</v>
      </c>
      <c r="B14" s="11" t="s">
        <v>322</v>
      </c>
      <c r="C14" s="11" t="s">
        <v>323</v>
      </c>
      <c r="D14" s="11" t="s">
        <v>324</v>
      </c>
      <c r="E14" s="11" t="s">
        <v>325</v>
      </c>
      <c r="F14" s="11" t="s">
        <v>326</v>
      </c>
      <c r="G14" s="11"/>
      <c r="H14" s="11" t="s">
        <v>302</v>
      </c>
    </row>
    <row r="15" customFormat="false" ht="15" hidden="false" customHeight="false" outlineLevel="0" collapsed="false">
      <c r="A15" s="46" t="s">
        <v>20</v>
      </c>
      <c r="B15" s="47" t="n">
        <v>0.6</v>
      </c>
      <c r="C15" s="47" t="n">
        <v>0.7</v>
      </c>
      <c r="D15" s="47" t="n">
        <v>0.8</v>
      </c>
      <c r="E15" s="47" t="n">
        <v>0.9</v>
      </c>
      <c r="F15" s="47" t="n">
        <v>1.1</v>
      </c>
      <c r="H15" s="6" t="s">
        <v>327</v>
      </c>
    </row>
    <row r="16" customFormat="false" ht="15" hidden="false" customHeight="false" outlineLevel="0" collapsed="false">
      <c r="A16" s="46" t="s">
        <v>23</v>
      </c>
      <c r="B16" s="47" t="n">
        <v>0.6</v>
      </c>
      <c r="C16" s="47" t="n">
        <v>0.7</v>
      </c>
      <c r="D16" s="47" t="n">
        <v>0.8</v>
      </c>
      <c r="E16" s="47" t="n">
        <v>0.9</v>
      </c>
      <c r="F16" s="47" t="n">
        <v>1.1</v>
      </c>
      <c r="H16" s="6" t="s">
        <v>328</v>
      </c>
    </row>
    <row r="17" customFormat="false" ht="15" hidden="false" customHeight="false" outlineLevel="0" collapsed="false">
      <c r="A17" s="46" t="s">
        <v>26</v>
      </c>
      <c r="B17" s="47" t="n">
        <v>0.5</v>
      </c>
      <c r="C17" s="47" t="n">
        <v>0.55</v>
      </c>
      <c r="D17" s="47" t="n">
        <v>0.65</v>
      </c>
      <c r="E17" s="47" t="n">
        <v>0.7</v>
      </c>
      <c r="F17" s="47" t="n">
        <v>0.9</v>
      </c>
      <c r="H17" s="6" t="s">
        <v>329</v>
      </c>
    </row>
    <row r="18" customFormat="false" ht="31.5" hidden="false" customHeight="true" outlineLevel="0" collapsed="false">
      <c r="A18" s="13" t="s">
        <v>330</v>
      </c>
      <c r="B18" s="13"/>
      <c r="C18" s="13"/>
      <c r="D18" s="13"/>
      <c r="E18" s="13"/>
      <c r="F18" s="13"/>
      <c r="G18" s="13"/>
      <c r="H18" s="13"/>
      <c r="I18" s="13"/>
    </row>
    <row r="20" customFormat="false" ht="21.75" hidden="false" customHeight="true" outlineLevel="0" collapsed="false">
      <c r="A20" s="3" t="s">
        <v>331</v>
      </c>
    </row>
    <row r="21" customFormat="false" ht="30" hidden="false" customHeight="true" outlineLevel="0" collapsed="false">
      <c r="A21" s="11" t="s">
        <v>44</v>
      </c>
      <c r="B21" s="11" t="s">
        <v>332</v>
      </c>
      <c r="C21" s="11" t="s">
        <v>333</v>
      </c>
      <c r="D21" s="11" t="s">
        <v>334</v>
      </c>
      <c r="E21" s="11" t="s">
        <v>335</v>
      </c>
      <c r="F21" s="11" t="s">
        <v>336</v>
      </c>
      <c r="G21" s="11" t="s">
        <v>337</v>
      </c>
      <c r="H21" s="11" t="s">
        <v>338</v>
      </c>
      <c r="I21" s="11" t="s">
        <v>339</v>
      </c>
    </row>
    <row r="22" customFormat="false" ht="30" hidden="false" customHeight="true" outlineLevel="0" collapsed="false">
      <c r="A22" s="9" t="s">
        <v>113</v>
      </c>
      <c r="B22" s="6" t="s">
        <v>340</v>
      </c>
      <c r="C22" s="39" t="n">
        <v>235</v>
      </c>
      <c r="D22" s="17" t="n">
        <v>235</v>
      </c>
      <c r="E22" s="18" t="n">
        <v>210000</v>
      </c>
      <c r="F22" s="24" t="n">
        <f aca="false">C22/$B$6</f>
        <v>223.809523809524</v>
      </c>
      <c r="G22" s="24" t="n">
        <f aca="false">D22/$B$6</f>
        <v>223.809523809524</v>
      </c>
      <c r="H22" s="6" t="s">
        <v>341</v>
      </c>
      <c r="I22" s="6" t="s">
        <v>342</v>
      </c>
    </row>
    <row r="23" customFormat="false" ht="30" hidden="false" customHeight="true" outlineLevel="0" collapsed="false">
      <c r="A23" s="9" t="s">
        <v>45</v>
      </c>
      <c r="B23" s="6" t="s">
        <v>340</v>
      </c>
      <c r="C23" s="39" t="n">
        <v>275</v>
      </c>
      <c r="D23" s="17" t="n">
        <v>275</v>
      </c>
      <c r="E23" s="18" t="n">
        <v>210000</v>
      </c>
      <c r="F23" s="24" t="n">
        <f aca="false">C23/$B$6</f>
        <v>261.904761904762</v>
      </c>
      <c r="G23" s="24" t="n">
        <f aca="false">D23/$B$6</f>
        <v>261.904761904762</v>
      </c>
      <c r="H23" s="6" t="s">
        <v>341</v>
      </c>
      <c r="I23" s="6" t="s">
        <v>342</v>
      </c>
    </row>
    <row r="24" customFormat="false" ht="30" hidden="false" customHeight="true" outlineLevel="0" collapsed="false">
      <c r="A24" s="9" t="s">
        <v>343</v>
      </c>
      <c r="B24" s="6" t="s">
        <v>340</v>
      </c>
      <c r="C24" s="39" t="n">
        <v>355</v>
      </c>
      <c r="D24" s="17" t="n">
        <v>355</v>
      </c>
      <c r="E24" s="18" t="n">
        <v>210000</v>
      </c>
      <c r="F24" s="24" t="n">
        <f aca="false">C24/$B$6</f>
        <v>338.095238095238</v>
      </c>
      <c r="G24" s="24" t="n">
        <f aca="false">D24/$B$6</f>
        <v>338.095238095238</v>
      </c>
      <c r="H24" s="6" t="s">
        <v>341</v>
      </c>
      <c r="I24" s="6" t="s">
        <v>342</v>
      </c>
    </row>
    <row r="25" customFormat="false" ht="30" hidden="false" customHeight="true" outlineLevel="0" collapsed="false">
      <c r="A25" s="9" t="s">
        <v>344</v>
      </c>
      <c r="B25" s="6" t="s">
        <v>340</v>
      </c>
      <c r="C25" s="39" t="n">
        <v>420</v>
      </c>
      <c r="D25" s="17" t="n">
        <v>420</v>
      </c>
      <c r="E25" s="18" t="n">
        <v>210000</v>
      </c>
      <c r="F25" s="24" t="n">
        <f aca="false">C25/$B$6</f>
        <v>400</v>
      </c>
      <c r="G25" s="24" t="n">
        <f aca="false">D25/$B$6</f>
        <v>400</v>
      </c>
      <c r="H25" s="6" t="s">
        <v>341</v>
      </c>
      <c r="I25" s="6" t="s">
        <v>342</v>
      </c>
    </row>
    <row r="26" customFormat="false" ht="30" hidden="false" customHeight="true" outlineLevel="0" collapsed="false">
      <c r="A26" s="9" t="s">
        <v>345</v>
      </c>
      <c r="B26" s="6" t="s">
        <v>340</v>
      </c>
      <c r="C26" s="39" t="n">
        <v>460</v>
      </c>
      <c r="D26" s="17" t="n">
        <v>460</v>
      </c>
      <c r="E26" s="18" t="n">
        <v>210000</v>
      </c>
      <c r="F26" s="24" t="n">
        <f aca="false">C26/$B$6</f>
        <v>438.095238095238</v>
      </c>
      <c r="G26" s="24" t="n">
        <f aca="false">D26/$B$6</f>
        <v>438.095238095238</v>
      </c>
      <c r="H26" s="6" t="s">
        <v>341</v>
      </c>
      <c r="I26" s="6" t="s">
        <v>342</v>
      </c>
    </row>
    <row r="27" customFormat="false" ht="42" hidden="false" customHeight="true" outlineLevel="0" collapsed="false">
      <c r="A27" s="9" t="s">
        <v>346</v>
      </c>
      <c r="B27" s="6" t="s">
        <v>347</v>
      </c>
      <c r="C27" s="39" t="n">
        <v>16</v>
      </c>
      <c r="D27" s="24" t="n">
        <f aca="false">0.3*C27^(2/3)</f>
        <v>1.90488126236184</v>
      </c>
      <c r="E27" s="19" t="n">
        <f aca="false">ROUND(22000*((C27+8)/10)^0.3,0)</f>
        <v>28608</v>
      </c>
      <c r="F27" s="24" t="n">
        <f aca="false">$B$7*C27/$B$8</f>
        <v>9.06666666666667</v>
      </c>
      <c r="G27" s="24" t="n">
        <f aca="false">0.7*D27/$B$8</f>
        <v>0.888944589102192</v>
      </c>
      <c r="H27" s="6" t="s">
        <v>348</v>
      </c>
      <c r="I27" s="6" t="s">
        <v>349</v>
      </c>
    </row>
    <row r="28" customFormat="false" ht="42" hidden="false" customHeight="true" outlineLevel="0" collapsed="false">
      <c r="A28" s="9" t="s">
        <v>350</v>
      </c>
      <c r="B28" s="6" t="s">
        <v>347</v>
      </c>
      <c r="C28" s="39" t="n">
        <v>20</v>
      </c>
      <c r="D28" s="24" t="n">
        <f aca="false">0.3*C28^(2/3)</f>
        <v>2.21041889918423</v>
      </c>
      <c r="E28" s="19" t="n">
        <f aca="false">ROUND(22000*((C28+8)/10)^0.3,0)</f>
        <v>29962</v>
      </c>
      <c r="F28" s="24" t="n">
        <f aca="false">$B$7*C28/$B$8</f>
        <v>11.3333333333333</v>
      </c>
      <c r="G28" s="24" t="n">
        <f aca="false">0.7*D28/$B$8</f>
        <v>1.03152881961931</v>
      </c>
      <c r="H28" s="6" t="s">
        <v>348</v>
      </c>
      <c r="I28" s="6" t="s">
        <v>349</v>
      </c>
    </row>
    <row r="29" customFormat="false" ht="42" hidden="false" customHeight="true" outlineLevel="0" collapsed="false">
      <c r="A29" s="9" t="s">
        <v>116</v>
      </c>
      <c r="B29" s="6" t="s">
        <v>347</v>
      </c>
      <c r="C29" s="39" t="n">
        <v>25</v>
      </c>
      <c r="D29" s="24" t="n">
        <f aca="false">0.3*C29^(2/3)</f>
        <v>2.56496392001505</v>
      </c>
      <c r="E29" s="19" t="n">
        <f aca="false">ROUND(22000*((C29+8)/10)^0.3,0)</f>
        <v>31476</v>
      </c>
      <c r="F29" s="24" t="n">
        <f aca="false">$B$7*C29/$B$8</f>
        <v>14.1666666666667</v>
      </c>
      <c r="G29" s="24" t="n">
        <f aca="false">0.7*D29/$B$8</f>
        <v>1.19698316267369</v>
      </c>
      <c r="H29" s="6" t="s">
        <v>348</v>
      </c>
      <c r="I29" s="6" t="s">
        <v>349</v>
      </c>
    </row>
    <row r="30" customFormat="false" ht="42" hidden="false" customHeight="true" outlineLevel="0" collapsed="false">
      <c r="A30" s="9" t="s">
        <v>351</v>
      </c>
      <c r="B30" s="6" t="s">
        <v>347</v>
      </c>
      <c r="C30" s="39" t="n">
        <v>28</v>
      </c>
      <c r="D30" s="24" t="n">
        <f aca="false">0.3*C30^(2/3)</f>
        <v>2.76626177523507</v>
      </c>
      <c r="E30" s="19" t="n">
        <f aca="false">ROUND(22000*((C30+8)/10)^0.3,0)</f>
        <v>32308</v>
      </c>
      <c r="F30" s="24" t="n">
        <f aca="false">$B$7*C30/$B$8</f>
        <v>15.8666666666667</v>
      </c>
      <c r="G30" s="24" t="n">
        <f aca="false">0.7*D30/$B$8</f>
        <v>1.29092216177636</v>
      </c>
      <c r="H30" s="6" t="s">
        <v>348</v>
      </c>
      <c r="I30" s="6" t="s">
        <v>349</v>
      </c>
    </row>
    <row r="31" customFormat="false" ht="42" hidden="false" customHeight="true" outlineLevel="0" collapsed="false">
      <c r="A31" s="9" t="s">
        <v>352</v>
      </c>
      <c r="B31" s="6" t="s">
        <v>347</v>
      </c>
      <c r="C31" s="39" t="n">
        <v>30</v>
      </c>
      <c r="D31" s="24" t="n">
        <f aca="false">0.3*C31^(2/3)</f>
        <v>2.89646815381689</v>
      </c>
      <c r="E31" s="19" t="n">
        <f aca="false">ROUND(22000*((C31+8)/10)^0.3,0)</f>
        <v>32837</v>
      </c>
      <c r="F31" s="24" t="n">
        <f aca="false">$B$7*C31/$B$8</f>
        <v>17</v>
      </c>
      <c r="G31" s="24" t="n">
        <f aca="false">0.7*D31/$B$8</f>
        <v>1.35168513844788</v>
      </c>
      <c r="H31" s="6" t="s">
        <v>348</v>
      </c>
      <c r="I31" s="6" t="s">
        <v>349</v>
      </c>
    </row>
    <row r="32" customFormat="false" ht="42" hidden="false" customHeight="true" outlineLevel="0" collapsed="false">
      <c r="A32" s="9" t="s">
        <v>353</v>
      </c>
      <c r="B32" s="6" t="s">
        <v>347</v>
      </c>
      <c r="C32" s="39" t="n">
        <v>32</v>
      </c>
      <c r="D32" s="24" t="n">
        <f aca="false">0.3*C32^(2/3)</f>
        <v>3.0238105197477</v>
      </c>
      <c r="E32" s="19" t="n">
        <f aca="false">ROUND(22000*((C32+8)/10)^0.3,0)</f>
        <v>33346</v>
      </c>
      <c r="F32" s="24" t="n">
        <f aca="false">$B$7*C32/$B$8</f>
        <v>18.1333333333333</v>
      </c>
      <c r="G32" s="24" t="n">
        <f aca="false">0.7*D32/$B$8</f>
        <v>1.41111157588226</v>
      </c>
      <c r="H32" s="6" t="s">
        <v>348</v>
      </c>
      <c r="I32" s="6" t="s">
        <v>349</v>
      </c>
    </row>
    <row r="33" customFormat="false" ht="42" hidden="false" customHeight="true" outlineLevel="0" collapsed="false">
      <c r="A33" s="9" t="s">
        <v>354</v>
      </c>
      <c r="B33" s="6" t="s">
        <v>347</v>
      </c>
      <c r="C33" s="39" t="n">
        <v>35</v>
      </c>
      <c r="D33" s="24" t="n">
        <f aca="false">0.3*C33^(2/3)</f>
        <v>3.20996244169524</v>
      </c>
      <c r="E33" s="19" t="n">
        <f aca="false">ROUND(22000*((C33+8)/10)^0.3,0)</f>
        <v>34077</v>
      </c>
      <c r="F33" s="24" t="n">
        <f aca="false">$B$7*C33/$B$8</f>
        <v>19.8333333333333</v>
      </c>
      <c r="G33" s="24" t="n">
        <f aca="false">0.7*D33/$B$8</f>
        <v>1.49798247279111</v>
      </c>
      <c r="H33" s="6" t="s">
        <v>348</v>
      </c>
      <c r="I33" s="6" t="s">
        <v>349</v>
      </c>
    </row>
    <row r="34" customFormat="false" ht="42" hidden="false" customHeight="true" outlineLevel="0" collapsed="false">
      <c r="A34" s="9" t="s">
        <v>355</v>
      </c>
      <c r="B34" s="6" t="s">
        <v>347</v>
      </c>
      <c r="C34" s="39" t="n">
        <v>40</v>
      </c>
      <c r="D34" s="24" t="n">
        <f aca="false">0.3*C34^(2/3)</f>
        <v>3.50882128585544</v>
      </c>
      <c r="E34" s="19" t="n">
        <f aca="false">ROUND(22000*((C34+8)/10)^0.3,0)</f>
        <v>35220</v>
      </c>
      <c r="F34" s="24" t="n">
        <f aca="false">$B$7*C34/$B$8</f>
        <v>22.6666666666667</v>
      </c>
      <c r="G34" s="24" t="n">
        <f aca="false">0.7*D34/$B$8</f>
        <v>1.6374499333992</v>
      </c>
      <c r="H34" s="6" t="s">
        <v>348</v>
      </c>
      <c r="I34" s="6" t="s">
        <v>349</v>
      </c>
    </row>
    <row r="35" customFormat="false" ht="42" hidden="false" customHeight="true" outlineLevel="0" collapsed="false">
      <c r="A35" s="9" t="s">
        <v>356</v>
      </c>
      <c r="B35" s="6" t="s">
        <v>347</v>
      </c>
      <c r="C35" s="39" t="n">
        <v>45</v>
      </c>
      <c r="D35" s="24" t="n">
        <f aca="false">0.3*C35^(2/3)</f>
        <v>3.79544699385787</v>
      </c>
      <c r="E35" s="19" t="n">
        <f aca="false">ROUND(22000*((C35+8)/10)^0.3,0)</f>
        <v>36283</v>
      </c>
      <c r="F35" s="24" t="n">
        <f aca="false">$B$7*C35/$B$8</f>
        <v>25.5</v>
      </c>
      <c r="G35" s="24" t="n">
        <f aca="false">0.7*D35/$B$8</f>
        <v>1.77120859713367</v>
      </c>
      <c r="H35" s="6" t="s">
        <v>348</v>
      </c>
      <c r="I35" s="6" t="s">
        <v>349</v>
      </c>
    </row>
    <row r="36" customFormat="false" ht="42" hidden="false" customHeight="true" outlineLevel="0" collapsed="false">
      <c r="A36" s="9" t="s">
        <v>357</v>
      </c>
      <c r="B36" s="6" t="s">
        <v>347</v>
      </c>
      <c r="C36" s="39" t="n">
        <v>50</v>
      </c>
      <c r="D36" s="24" t="n">
        <f aca="false">0.3*C36^(2/3)</f>
        <v>4.07162642489236</v>
      </c>
      <c r="E36" s="19" t="n">
        <f aca="false">ROUND(22000*((C36+8)/10)^0.3,0)</f>
        <v>37278</v>
      </c>
      <c r="F36" s="24" t="n">
        <f aca="false">$B$7*C36/$B$8</f>
        <v>28.3333333333333</v>
      </c>
      <c r="G36" s="24" t="n">
        <f aca="false">0.7*D36/$B$8</f>
        <v>1.90009233161643</v>
      </c>
      <c r="H36" s="6" t="s">
        <v>348</v>
      </c>
      <c r="I36" s="6" t="s">
        <v>349</v>
      </c>
    </row>
    <row r="37" customFormat="false" ht="30" hidden="false" customHeight="true" outlineLevel="0" collapsed="false">
      <c r="A37" s="9" t="s">
        <v>358</v>
      </c>
      <c r="B37" s="6" t="s">
        <v>359</v>
      </c>
      <c r="C37" s="39" t="n">
        <v>16</v>
      </c>
      <c r="D37" s="17" t="n">
        <v>7.2</v>
      </c>
      <c r="E37" s="18" t="n">
        <v>7000</v>
      </c>
      <c r="F37" s="24" t="n">
        <f aca="false">$B$9*C37/$B$10</f>
        <v>8.53333333333333</v>
      </c>
      <c r="G37" s="24" t="n">
        <f aca="false">$B$9*D37/$B$10</f>
        <v>3.84</v>
      </c>
      <c r="H37" s="6" t="s">
        <v>360</v>
      </c>
      <c r="I37" s="6" t="s">
        <v>361</v>
      </c>
    </row>
    <row r="38" customFormat="false" ht="30" hidden="false" customHeight="true" outlineLevel="0" collapsed="false">
      <c r="A38" s="9" t="s">
        <v>362</v>
      </c>
      <c r="B38" s="6" t="s">
        <v>359</v>
      </c>
      <c r="C38" s="39" t="n">
        <v>17</v>
      </c>
      <c r="D38" s="17" t="n">
        <v>8.5</v>
      </c>
      <c r="E38" s="18" t="n">
        <v>8000</v>
      </c>
      <c r="F38" s="24" t="n">
        <f aca="false">$B$9*C38/$B$10</f>
        <v>9.06666666666667</v>
      </c>
      <c r="G38" s="24" t="n">
        <f aca="false">$B$9*D38/$B$10</f>
        <v>4.53333333333333</v>
      </c>
      <c r="H38" s="6" t="s">
        <v>360</v>
      </c>
      <c r="I38" s="6" t="s">
        <v>361</v>
      </c>
    </row>
    <row r="39" customFormat="false" ht="30" hidden="false" customHeight="true" outlineLevel="0" collapsed="false">
      <c r="A39" s="9" t="s">
        <v>363</v>
      </c>
      <c r="B39" s="6" t="s">
        <v>359</v>
      </c>
      <c r="C39" s="39" t="n">
        <v>18</v>
      </c>
      <c r="D39" s="17" t="n">
        <v>10</v>
      </c>
      <c r="E39" s="18" t="n">
        <v>9000</v>
      </c>
      <c r="F39" s="24" t="n">
        <f aca="false">$B$9*C39/$B$10</f>
        <v>9.6</v>
      </c>
      <c r="G39" s="24" t="n">
        <f aca="false">$B$9*D39/$B$10</f>
        <v>5.33333333333333</v>
      </c>
      <c r="H39" s="6" t="s">
        <v>360</v>
      </c>
      <c r="I39" s="6" t="s">
        <v>361</v>
      </c>
    </row>
    <row r="40" customFormat="false" ht="30" hidden="false" customHeight="true" outlineLevel="0" collapsed="false">
      <c r="A40" s="9" t="s">
        <v>364</v>
      </c>
      <c r="B40" s="6" t="s">
        <v>359</v>
      </c>
      <c r="C40" s="39" t="n">
        <v>19</v>
      </c>
      <c r="D40" s="17" t="n">
        <v>11.5</v>
      </c>
      <c r="E40" s="18" t="n">
        <v>9500</v>
      </c>
      <c r="F40" s="24" t="n">
        <f aca="false">$B$9*C40/$B$10</f>
        <v>10.1333333333333</v>
      </c>
      <c r="G40" s="24" t="n">
        <f aca="false">$B$9*D40/$B$10</f>
        <v>6.13333333333333</v>
      </c>
      <c r="H40" s="6" t="s">
        <v>360</v>
      </c>
      <c r="I40" s="6" t="s">
        <v>361</v>
      </c>
    </row>
    <row r="41" customFormat="false" ht="30" hidden="false" customHeight="true" outlineLevel="0" collapsed="false">
      <c r="A41" s="9" t="s">
        <v>365</v>
      </c>
      <c r="B41" s="6" t="s">
        <v>359</v>
      </c>
      <c r="C41" s="39" t="n">
        <v>20</v>
      </c>
      <c r="D41" s="17" t="n">
        <v>13</v>
      </c>
      <c r="E41" s="18" t="n">
        <v>10000</v>
      </c>
      <c r="F41" s="24" t="n">
        <f aca="false">$B$9*C41/$B$10</f>
        <v>10.6666666666667</v>
      </c>
      <c r="G41" s="24" t="n">
        <f aca="false">$B$9*D41/$B$10</f>
        <v>6.93333333333333</v>
      </c>
      <c r="H41" s="6" t="s">
        <v>360</v>
      </c>
      <c r="I41" s="6" t="s">
        <v>361</v>
      </c>
    </row>
    <row r="42" customFormat="false" ht="30" hidden="false" customHeight="true" outlineLevel="0" collapsed="false">
      <c r="A42" s="9" t="s">
        <v>119</v>
      </c>
      <c r="B42" s="6" t="s">
        <v>359</v>
      </c>
      <c r="C42" s="39" t="n">
        <v>21</v>
      </c>
      <c r="D42" s="17" t="n">
        <v>14.5</v>
      </c>
      <c r="E42" s="18" t="n">
        <v>11000</v>
      </c>
      <c r="F42" s="24" t="n">
        <f aca="false">$B$9*C42/$B$10</f>
        <v>11.2</v>
      </c>
      <c r="G42" s="24" t="n">
        <f aca="false">$B$9*D42/$B$10</f>
        <v>7.73333333333333</v>
      </c>
      <c r="H42" s="6" t="s">
        <v>360</v>
      </c>
      <c r="I42" s="6" t="s">
        <v>361</v>
      </c>
    </row>
    <row r="43" customFormat="false" ht="30" hidden="false" customHeight="true" outlineLevel="0" collapsed="false">
      <c r="A43" s="9" t="s">
        <v>366</v>
      </c>
      <c r="B43" s="6" t="s">
        <v>359</v>
      </c>
      <c r="C43" s="39" t="n">
        <v>22</v>
      </c>
      <c r="D43" s="17" t="n">
        <v>16.5</v>
      </c>
      <c r="E43" s="18" t="n">
        <v>11500</v>
      </c>
      <c r="F43" s="24" t="n">
        <f aca="false">$B$9*C43/$B$10</f>
        <v>11.7333333333333</v>
      </c>
      <c r="G43" s="24" t="n">
        <f aca="false">$B$9*D43/$B$10</f>
        <v>8.8</v>
      </c>
      <c r="H43" s="6" t="s">
        <v>360</v>
      </c>
      <c r="I43" s="6" t="s">
        <v>361</v>
      </c>
    </row>
    <row r="44" customFormat="false" ht="30" hidden="false" customHeight="true" outlineLevel="0" collapsed="false">
      <c r="A44" s="9" t="s">
        <v>367</v>
      </c>
      <c r="B44" s="6" t="s">
        <v>359</v>
      </c>
      <c r="C44" s="39" t="n">
        <v>24</v>
      </c>
      <c r="D44" s="17" t="n">
        <v>19</v>
      </c>
      <c r="E44" s="18" t="n">
        <v>12000</v>
      </c>
      <c r="F44" s="24" t="n">
        <f aca="false">$B$9*C44/$B$10</f>
        <v>12.8</v>
      </c>
      <c r="G44" s="24" t="n">
        <f aca="false">$B$9*D44/$B$10</f>
        <v>10.1333333333333</v>
      </c>
      <c r="H44" s="6" t="s">
        <v>360</v>
      </c>
      <c r="I44" s="6" t="s">
        <v>361</v>
      </c>
    </row>
    <row r="45" customFormat="false" ht="30" hidden="false" customHeight="true" outlineLevel="0" collapsed="false">
      <c r="A45" s="9" t="s">
        <v>368</v>
      </c>
      <c r="B45" s="6" t="s">
        <v>359</v>
      </c>
      <c r="C45" s="39" t="n">
        <v>25</v>
      </c>
      <c r="D45" s="17" t="n">
        <v>22.5</v>
      </c>
      <c r="E45" s="18" t="n">
        <v>13000</v>
      </c>
      <c r="F45" s="24" t="n">
        <f aca="false">$B$9*C45/$B$10</f>
        <v>13.3333333333333</v>
      </c>
      <c r="G45" s="24" t="n">
        <f aca="false">$B$9*D45/$B$10</f>
        <v>12</v>
      </c>
      <c r="H45" s="6" t="s">
        <v>360</v>
      </c>
      <c r="I45" s="6" t="s">
        <v>361</v>
      </c>
    </row>
    <row r="46" customFormat="false" ht="30" hidden="false" customHeight="true" outlineLevel="0" collapsed="false">
      <c r="A46" s="9" t="s">
        <v>369</v>
      </c>
      <c r="B46" s="6" t="s">
        <v>359</v>
      </c>
      <c r="C46" s="39" t="n">
        <v>27</v>
      </c>
      <c r="D46" s="17" t="n">
        <v>26</v>
      </c>
      <c r="E46" s="18" t="n">
        <v>14000</v>
      </c>
      <c r="F46" s="24" t="n">
        <f aca="false">$B$9*C46/$B$10</f>
        <v>14.4</v>
      </c>
      <c r="G46" s="24" t="n">
        <f aca="false">$B$9*D46/$B$10</f>
        <v>13.8666666666667</v>
      </c>
      <c r="H46" s="6" t="s">
        <v>360</v>
      </c>
      <c r="I46" s="6" t="s">
        <v>361</v>
      </c>
    </row>
    <row r="47" customFormat="false" ht="30" hidden="false" customHeight="true" outlineLevel="0" collapsed="false">
      <c r="A47" s="9" t="s">
        <v>370</v>
      </c>
      <c r="B47" s="6" t="s">
        <v>371</v>
      </c>
      <c r="C47" s="39" t="n">
        <v>24</v>
      </c>
      <c r="D47" s="17" t="n">
        <v>19.2</v>
      </c>
      <c r="E47" s="18" t="n">
        <v>11500</v>
      </c>
      <c r="F47" s="24" t="n">
        <f aca="false">$B$9*C47/$B$11</f>
        <v>13.2413793103448</v>
      </c>
      <c r="G47" s="24" t="n">
        <f aca="false">$B$9*D47/$B$11</f>
        <v>10.5931034482759</v>
      </c>
      <c r="H47" s="6" t="s">
        <v>360</v>
      </c>
      <c r="I47" s="6" t="s">
        <v>372</v>
      </c>
    </row>
    <row r="48" customFormat="false" ht="30" hidden="false" customHeight="true" outlineLevel="0" collapsed="false">
      <c r="A48" s="9" t="s">
        <v>373</v>
      </c>
      <c r="B48" s="6" t="s">
        <v>371</v>
      </c>
      <c r="C48" s="39" t="n">
        <v>28</v>
      </c>
      <c r="D48" s="17" t="n">
        <v>22.3</v>
      </c>
      <c r="E48" s="18" t="n">
        <v>12600</v>
      </c>
      <c r="F48" s="24" t="n">
        <f aca="false">$B$9*C48/$B$11</f>
        <v>15.448275862069</v>
      </c>
      <c r="G48" s="24" t="n">
        <f aca="false">$B$9*D48/$B$11</f>
        <v>12.3034482758621</v>
      </c>
      <c r="H48" s="6" t="s">
        <v>360</v>
      </c>
      <c r="I48" s="6" t="s">
        <v>372</v>
      </c>
    </row>
    <row r="49" customFormat="false" ht="30" hidden="false" customHeight="true" outlineLevel="0" collapsed="false">
      <c r="A49" s="9" t="s">
        <v>374</v>
      </c>
      <c r="B49" s="6" t="s">
        <v>371</v>
      </c>
      <c r="C49" s="39" t="n">
        <v>30</v>
      </c>
      <c r="D49" s="17" t="n">
        <v>24</v>
      </c>
      <c r="E49" s="18" t="n">
        <v>13600</v>
      </c>
      <c r="F49" s="24" t="n">
        <f aca="false">$B$9*C49/$B$11</f>
        <v>16.551724137931</v>
      </c>
      <c r="G49" s="24" t="n">
        <f aca="false">$B$9*D49/$B$11</f>
        <v>13.2413793103448</v>
      </c>
      <c r="H49" s="6" t="s">
        <v>360</v>
      </c>
      <c r="I49" s="6" t="s">
        <v>372</v>
      </c>
    </row>
    <row r="50" customFormat="false" ht="30" hidden="false" customHeight="true" outlineLevel="0" collapsed="false">
      <c r="A50" s="9" t="s">
        <v>375</v>
      </c>
      <c r="B50" s="6" t="s">
        <v>371</v>
      </c>
      <c r="C50" s="39" t="n">
        <v>32</v>
      </c>
      <c r="D50" s="17" t="n">
        <v>25.6</v>
      </c>
      <c r="E50" s="18" t="n">
        <v>14200</v>
      </c>
      <c r="F50" s="24" t="n">
        <f aca="false">$B$9*C50/$B$11</f>
        <v>17.6551724137931</v>
      </c>
      <c r="G50" s="24" t="n">
        <f aca="false">$B$9*D50/$B$11</f>
        <v>14.1241379310345</v>
      </c>
      <c r="H50" s="6" t="s">
        <v>360</v>
      </c>
      <c r="I50" s="6" t="s">
        <v>372</v>
      </c>
    </row>
    <row r="52" customFormat="false" ht="48" hidden="false" customHeight="true" outlineLevel="0" collapsed="false">
      <c r="A52" s="13" t="s">
        <v>376</v>
      </c>
      <c r="B52" s="13"/>
      <c r="C52" s="13"/>
      <c r="D52" s="13"/>
      <c r="E52" s="13"/>
      <c r="F52" s="13"/>
      <c r="G52" s="13"/>
      <c r="H52" s="13"/>
      <c r="I52" s="13"/>
    </row>
  </sheetData>
  <mergeCells count="11">
    <mergeCell ref="A1:I1"/>
    <mergeCell ref="A2:I2"/>
    <mergeCell ref="C5:G5"/>
    <mergeCell ref="C6:G6"/>
    <mergeCell ref="C7:G7"/>
    <mergeCell ref="C8:G8"/>
    <mergeCell ref="C9:G9"/>
    <mergeCell ref="C10:G10"/>
    <mergeCell ref="C11:G11"/>
    <mergeCell ref="A18:I18"/>
    <mergeCell ref="A52:I5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00"/>
  </cols>
  <sheetData>
    <row r="1" customFormat="false" ht="33.75" hidden="false" customHeight="true" outlineLevel="0" collapsed="false">
      <c r="A1" s="1" t="s">
        <v>377</v>
      </c>
      <c r="B1" s="1"/>
    </row>
    <row r="2" customFormat="false" ht="19.5" hidden="false" customHeight="true" outlineLevel="0" collapsed="false">
      <c r="A2" s="2" t="s">
        <v>378</v>
      </c>
      <c r="B2" s="2"/>
    </row>
    <row r="4" customFormat="false" ht="21.75" hidden="false" customHeight="true" outlineLevel="0" collapsed="false">
      <c r="A4" s="3" t="s">
        <v>379</v>
      </c>
    </row>
    <row r="5" customFormat="false" ht="30" hidden="false" customHeight="true" outlineLevel="0" collapsed="false">
      <c r="A5" s="11" t="s">
        <v>303</v>
      </c>
      <c r="B5" s="11" t="s">
        <v>380</v>
      </c>
    </row>
    <row r="6" customFormat="false" ht="31.5" hidden="false" customHeight="true" outlineLevel="0" collapsed="false">
      <c r="A6" s="9" t="s">
        <v>381</v>
      </c>
      <c r="B6" s="6" t="s">
        <v>382</v>
      </c>
    </row>
    <row r="7" customFormat="false" ht="15" hidden="false" customHeight="false" outlineLevel="0" collapsed="false">
      <c r="A7" s="6"/>
      <c r="B7" s="48" t="str">
        <f aca="false">HYPERLINK("https://www.certifico.com/costruzioni/ntc/decreto-17-gennaio-2018","https://www.certifico.com/costruzioni/ntc/decreto-17-gennaio-2018")</f>
        <v>https://www.certifico.com/costruzioni/ntc/decreto-17-gennaio-2018</v>
      </c>
    </row>
    <row r="8" customFormat="false" ht="31.5" hidden="false" customHeight="true" outlineLevel="0" collapsed="false">
      <c r="A8" s="9" t="s">
        <v>383</v>
      </c>
      <c r="B8" s="6" t="s">
        <v>384</v>
      </c>
    </row>
    <row r="9" customFormat="false" ht="15" hidden="false" customHeight="false" outlineLevel="0" collapsed="false">
      <c r="A9" s="6"/>
      <c r="B9" s="48" t="str">
        <f aca="false">HYPERLINK("https://www.studiomadera.it/vari/168-norme-costruzione","https://www.studiomadera.it/vari/168-norme-costruzione")</f>
        <v>https://www.studiomadera.it/vari/168-norme-costruzione</v>
      </c>
    </row>
    <row r="10" customFormat="false" ht="31.5" hidden="false" customHeight="true" outlineLevel="0" collapsed="false">
      <c r="A10" s="9" t="s">
        <v>385</v>
      </c>
      <c r="B10" s="6" t="s">
        <v>386</v>
      </c>
    </row>
    <row r="11" customFormat="false" ht="15" hidden="false" customHeight="false" outlineLevel="0" collapsed="false">
      <c r="A11" s="6"/>
      <c r="B11" s="48" t="str">
        <f aca="false">HYPERLINK("https://ediltecnico.it/aggiornamento-delle-norme-tecniche-per-le-costruzioni-ntc-2018-in-gazzetta-le-modifiche/","https://ediltecnico.it/aggiornamento-delle-norme-tecniche-per-le-costruzioni-ntc-2018-in-gazzetta-le-modifiche/")</f>
        <v>https://ediltecnico.it/aggiornamento-delle-norme-tecniche-per-le-costruzioni-ntc-2018-in-gazzetta-le-modifiche/</v>
      </c>
    </row>
    <row r="12" customFormat="false" ht="31.5" hidden="false" customHeight="true" outlineLevel="0" collapsed="false">
      <c r="A12" s="9" t="s">
        <v>387</v>
      </c>
      <c r="B12" s="6" t="s">
        <v>388</v>
      </c>
    </row>
    <row r="13" customFormat="false" ht="23.85" hidden="false" customHeight="false" outlineLevel="0" collapsed="false">
      <c r="A13" s="6"/>
      <c r="B13" s="48" t="str">
        <f aca="false">HYPERLINK("https://www.calcolostrutturale.com/verso-le-ntc-2028-nominati-i-membri-della-commissione-per-le-nuove-norme-tecniche-delle-costruzioni/","https://www.calcolostrutturale.com/verso-le-ntc-2028-nominati-i-membri-della-commissione-per-le-nuove-norme-tecniche-delle-costruzioni/")</f>
        <v>https://www.calcolostrutturale.com/verso-le-ntc-2028-nominati-i-membri-della-commissione-per-le-nuove-norme-tecniche-delle-costruzioni/</v>
      </c>
    </row>
    <row r="14" customFormat="false" ht="31.5" hidden="false" customHeight="true" outlineLevel="0" collapsed="false">
      <c r="A14" s="9" t="s">
        <v>389</v>
      </c>
      <c r="B14" s="6" t="s">
        <v>390</v>
      </c>
    </row>
    <row r="15" customFormat="false" ht="15" hidden="false" customHeight="false" outlineLevel="0" collapsed="false">
      <c r="A15" s="6"/>
      <c r="B15" s="48" t="str">
        <f aca="false">HYPERLINK("https://www.edilportale.com/news/2026/07/normativa/eurocodici-approvate-le-nuove-appendici-nazionali_111170_15.html","https://www.edilportale.com/news/2026/07/normativa/eurocodici-approvate-le-nuove-appendici-nazionali_111170_15.html")</f>
        <v>https://www.edilportale.com/news/2026/07/normativa/eurocodici-approvate-le-nuove-appendici-nazionali_111170_15.html</v>
      </c>
    </row>
    <row r="16" customFormat="false" ht="31.5" hidden="false" customHeight="true" outlineLevel="0" collapsed="false">
      <c r="A16" s="9" t="s">
        <v>391</v>
      </c>
      <c r="B16" s="6" t="s">
        <v>392</v>
      </c>
    </row>
    <row r="17" customFormat="false" ht="15" hidden="false" customHeight="false" outlineLevel="0" collapsed="false">
      <c r="A17" s="6"/>
      <c r="B17" s="48" t="str">
        <f aca="false">HYPERLINK("https://www.studiomadera.it/news/660-legno-conifera","https://www.studiomadera.it/news/660-legno-conifera")</f>
        <v>https://www.studiomadera.it/news/660-legno-conifera</v>
      </c>
    </row>
    <row r="18" customFormat="false" ht="31.5" hidden="false" customHeight="true" outlineLevel="0" collapsed="false">
      <c r="A18" s="9" t="s">
        <v>393</v>
      </c>
      <c r="B18" s="6" t="s">
        <v>394</v>
      </c>
    </row>
    <row r="19" customFormat="false" ht="31.5" hidden="false" customHeight="true" outlineLevel="0" collapsed="false">
      <c r="A19" s="9" t="s">
        <v>395</v>
      </c>
      <c r="B19" s="6" t="s">
        <v>396</v>
      </c>
    </row>
    <row r="20" customFormat="false" ht="31.5" hidden="false" customHeight="true" outlineLevel="0" collapsed="false">
      <c r="A20" s="9" t="s">
        <v>397</v>
      </c>
      <c r="B20" s="6" t="s">
        <v>398</v>
      </c>
    </row>
    <row r="21" customFormat="false" ht="31.5" hidden="false" customHeight="true" outlineLevel="0" collapsed="false">
      <c r="A21" s="9" t="s">
        <v>399</v>
      </c>
      <c r="B21" s="6" t="s">
        <v>400</v>
      </c>
    </row>
    <row r="22" customFormat="false" ht="15" hidden="false" customHeight="false" outlineLevel="0" collapsed="false">
      <c r="A22" s="6"/>
      <c r="B22" s="48" t="str">
        <f aca="false">HYPERLINK("https://vivi.green/come-si-usa-telaio2d/","https://vivi.green/come-si-usa-telaio2d/")</f>
        <v>https://vivi.green/come-si-usa-telaio2d/</v>
      </c>
    </row>
    <row r="24" customFormat="false" ht="21.75" hidden="false" customHeight="true" outlineLevel="0" collapsed="false">
      <c r="A24" s="3" t="s">
        <v>401</v>
      </c>
    </row>
    <row r="25" customFormat="false" ht="31.5" hidden="false" customHeight="true" outlineLevel="0" collapsed="false">
      <c r="A25" s="4" t="s">
        <v>402</v>
      </c>
      <c r="B25" s="4"/>
    </row>
    <row r="27" customFormat="false" ht="30" hidden="false" customHeight="true" outlineLevel="0" collapsed="false">
      <c r="A27" s="13" t="s">
        <v>403</v>
      </c>
      <c r="B27" s="13"/>
    </row>
  </sheetData>
  <mergeCells count="4">
    <mergeCell ref="A1:B1"/>
    <mergeCell ref="A2:B2"/>
    <mergeCell ref="A25:B25"/>
    <mergeCell ref="A27:B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2026-10-25T18:52:37Z</dcterms:created>
  <dc:creator>openpyxl</dc:creator>
  <dc:description/>
  <dc:language>en-US</dc:language>
  <cp:lastModifiedBy/>
  <dcterms:modified xsi:type="dcterms:W3CDTF">2026-10-25T18:52:37Z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